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LAT" sheetId="1" r:id="rId1"/>
    <sheet name="PA" sheetId="4" r:id="rId2"/>
    <sheet name="Space analysis1" sheetId="5" r:id="rId3"/>
    <sheet name="Space analysis2" sheetId="6" r:id="rId4"/>
    <sheet name="Sheet2" sheetId="2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W16" i="1" l="1"/>
  <c r="V21" i="5" l="1"/>
  <c r="W24" i="5" s="1"/>
  <c r="S21" i="5"/>
  <c r="T24" i="5" s="1"/>
  <c r="T25" i="5" l="1"/>
  <c r="W29" i="5"/>
  <c r="W23" i="5"/>
  <c r="W27" i="5"/>
  <c r="W25" i="5"/>
  <c r="W30" i="5"/>
  <c r="W28" i="5"/>
  <c r="W26" i="5"/>
  <c r="T23" i="5"/>
  <c r="T29" i="5"/>
  <c r="T27" i="5"/>
  <c r="T30" i="5"/>
  <c r="T28" i="5"/>
  <c r="T26" i="5"/>
  <c r="N25" i="5"/>
  <c r="O25" i="5"/>
  <c r="L25" i="5"/>
  <c r="M25" i="5"/>
  <c r="K25" i="5"/>
  <c r="O22" i="5"/>
  <c r="N22" i="5"/>
  <c r="L22" i="5"/>
  <c r="M22" i="5"/>
  <c r="K22" i="5"/>
  <c r="L20" i="5"/>
  <c r="M20" i="5"/>
  <c r="N20" i="5"/>
  <c r="O20" i="5"/>
  <c r="K20" i="5"/>
  <c r="B24" i="5" l="1"/>
  <c r="B25" i="5" s="1"/>
  <c r="B26" i="5" l="1"/>
  <c r="E8" i="6"/>
  <c r="D8" i="6"/>
  <c r="E17" i="5" l="1"/>
  <c r="W17" i="1"/>
  <c r="Q21" i="1" l="1"/>
  <c r="R21" i="1" s="1"/>
  <c r="Q20" i="1"/>
  <c r="R20" i="1" s="1"/>
  <c r="Q18" i="1"/>
  <c r="Q19" i="1"/>
  <c r="Q17" i="1"/>
  <c r="R17" i="1" s="1"/>
  <c r="Q16" i="1"/>
  <c r="W24" i="1"/>
  <c r="W23" i="1"/>
  <c r="W21" i="1"/>
  <c r="W20" i="1"/>
  <c r="Q15" i="1"/>
  <c r="R15" i="1" s="1"/>
  <c r="Q14" i="1"/>
  <c r="R14" i="1" s="1"/>
  <c r="Q13" i="1"/>
  <c r="R13" i="1" s="1"/>
  <c r="Q12" i="1"/>
  <c r="R12" i="1" s="1"/>
  <c r="W18" i="1"/>
  <c r="Q11" i="1"/>
  <c r="R10" i="1"/>
  <c r="Q10" i="1"/>
  <c r="W15" i="1"/>
  <c r="Q8" i="1"/>
  <c r="X36" i="1" l="1"/>
  <c r="W36" i="1"/>
  <c r="W38" i="1"/>
  <c r="X38" i="1"/>
  <c r="T9" i="1"/>
  <c r="X11" i="1"/>
  <c r="X30" i="1"/>
  <c r="X31" i="1"/>
  <c r="W30" i="1"/>
  <c r="W31" i="1"/>
  <c r="T18" i="1"/>
  <c r="U18" i="1" s="1"/>
  <c r="T16" i="1"/>
  <c r="U16" i="1" s="1"/>
  <c r="R16" i="1"/>
  <c r="T19" i="1"/>
  <c r="W40" i="1"/>
  <c r="X40" i="1"/>
  <c r="W11" i="1"/>
  <c r="X10" i="1"/>
  <c r="R8" i="1"/>
  <c r="X13" i="1" s="1"/>
  <c r="W10" i="1"/>
  <c r="W34" i="1" l="1"/>
  <c r="W33" i="1"/>
  <c r="W37" i="1"/>
  <c r="W39" i="1"/>
  <c r="W41" i="1"/>
  <c r="X28" i="1"/>
  <c r="W13" i="1"/>
  <c r="W28" i="1"/>
  <c r="W14" i="1"/>
  <c r="W29" i="1" l="1"/>
  <c r="Q2" i="1"/>
  <c r="T14" i="1" s="1"/>
  <c r="U14" i="1" s="1"/>
  <c r="Q5" i="1"/>
  <c r="Q3" i="1"/>
  <c r="T2" i="1" l="1"/>
  <c r="T8" i="1"/>
  <c r="T3" i="1"/>
  <c r="T6" i="1"/>
  <c r="U6" i="1" s="1"/>
  <c r="T5" i="1"/>
  <c r="U5" i="1" s="1"/>
  <c r="Q7" i="1"/>
  <c r="T13" i="1" s="1"/>
  <c r="R7" i="1" l="1"/>
  <c r="X26" i="1" s="1"/>
  <c r="C36" i="1"/>
  <c r="W26" i="1" l="1"/>
  <c r="W27" i="1" s="1"/>
  <c r="E16" i="6" l="1"/>
  <c r="D16" i="6"/>
  <c r="C16" i="6"/>
  <c r="C8" i="6"/>
  <c r="W19" i="5"/>
  <c r="V19" i="5"/>
  <c r="U19" i="5"/>
  <c r="T19" i="5"/>
  <c r="P17" i="5"/>
  <c r="N17" i="5"/>
  <c r="L17" i="5"/>
  <c r="H17" i="5"/>
  <c r="P16" i="5"/>
  <c r="N16" i="5"/>
  <c r="L16" i="5"/>
  <c r="H16" i="5"/>
  <c r="E16" i="5"/>
  <c r="C17" i="6" l="1"/>
  <c r="C9" i="6"/>
  <c r="E18" i="5"/>
  <c r="D21" i="5" s="1"/>
  <c r="E21" i="5" s="1"/>
  <c r="H18" i="5"/>
  <c r="D22" i="5" s="1"/>
  <c r="E22" i="5" s="1"/>
  <c r="Q21" i="4"/>
  <c r="K9" i="4"/>
  <c r="K8" i="4"/>
  <c r="K7" i="4"/>
  <c r="K6" i="4"/>
  <c r="K5" i="4"/>
  <c r="K4" i="4"/>
  <c r="K3" i="4"/>
  <c r="K2" i="4"/>
  <c r="L2" i="4" s="1"/>
  <c r="U5" i="4" l="1"/>
  <c r="V5" i="4" s="1"/>
  <c r="I4" i="4" s="1"/>
  <c r="O16" i="4"/>
  <c r="O2" i="4"/>
  <c r="N3" i="4"/>
  <c r="U4" i="4"/>
  <c r="V4" i="4" s="1"/>
  <c r="I5" i="4" s="1"/>
  <c r="N16" i="4"/>
  <c r="N15" i="4"/>
  <c r="N14" i="4"/>
  <c r="O13" i="4"/>
  <c r="N12" i="4"/>
  <c r="N11" i="4"/>
  <c r="O10" i="4"/>
  <c r="O9" i="4"/>
  <c r="N4" i="4"/>
  <c r="O5" i="4"/>
  <c r="O6" i="4"/>
  <c r="N7" i="4"/>
  <c r="O8" i="4"/>
  <c r="N2" i="4"/>
  <c r="U2" i="4"/>
  <c r="V2" i="4" s="1"/>
  <c r="O3" i="4"/>
  <c r="Q3" i="4" s="1"/>
  <c r="R3" i="4" s="1"/>
  <c r="U3" i="4"/>
  <c r="V3" i="4" s="1"/>
  <c r="I3" i="4" s="1"/>
  <c r="O4" i="4"/>
  <c r="N5" i="4"/>
  <c r="N6" i="4"/>
  <c r="U6" i="4"/>
  <c r="V6" i="4" s="1"/>
  <c r="I6" i="4" s="1"/>
  <c r="O7" i="4"/>
  <c r="U7" i="4"/>
  <c r="V7" i="4" s="1"/>
  <c r="I7" i="4" s="1"/>
  <c r="N8" i="4"/>
  <c r="U8" i="4"/>
  <c r="V8" i="4" s="1"/>
  <c r="I15" i="4" s="1"/>
  <c r="N9" i="4"/>
  <c r="N10" i="4"/>
  <c r="O11" i="4"/>
  <c r="O12" i="4"/>
  <c r="N13" i="4"/>
  <c r="Q18" i="4" s="1"/>
  <c r="R18" i="4" s="1"/>
  <c r="H13" i="4" s="1"/>
  <c r="O14" i="4"/>
  <c r="O15" i="4"/>
  <c r="Q9" i="4" l="1"/>
  <c r="R9" i="4" s="1"/>
  <c r="G6" i="4" s="1"/>
  <c r="Q5" i="4"/>
  <c r="R5" i="4" s="1"/>
  <c r="G3" i="4" s="1"/>
  <c r="Q12" i="4"/>
  <c r="R12" i="4" s="1"/>
  <c r="H9" i="4" s="1"/>
  <c r="Q15" i="4"/>
  <c r="R15" i="4" s="1"/>
  <c r="H11" i="4" s="1"/>
  <c r="Q14" i="4"/>
  <c r="R14" i="4" s="1"/>
  <c r="H10" i="4" s="1"/>
  <c r="Q16" i="4"/>
  <c r="Q13" i="4"/>
  <c r="R13" i="4" s="1"/>
  <c r="G4" i="4"/>
  <c r="Q10" i="4"/>
  <c r="R10" i="4" s="1"/>
  <c r="F7" i="4" s="1"/>
  <c r="R16" i="4"/>
  <c r="H12" i="4" s="1"/>
  <c r="Q4" i="4"/>
  <c r="R4" i="4" s="1"/>
  <c r="F3" i="4" s="1"/>
  <c r="Q17" i="4"/>
  <c r="R17" i="4" s="1"/>
  <c r="H8" i="4" s="1"/>
  <c r="Q19" i="4"/>
  <c r="R19" i="4" s="1"/>
  <c r="H14" i="4" s="1"/>
  <c r="Q8" i="4"/>
  <c r="R8" i="4" s="1"/>
  <c r="F6" i="4" s="1"/>
  <c r="Q6" i="4"/>
  <c r="R6" i="4" s="1"/>
  <c r="F5" i="4" s="1"/>
  <c r="Q2" i="4"/>
  <c r="R2" i="4" s="1"/>
  <c r="F4" i="4" s="1"/>
  <c r="Q7" i="4"/>
  <c r="R7" i="4" s="1"/>
  <c r="Q11" i="4"/>
  <c r="R11" i="4" s="1"/>
  <c r="Q20" i="4"/>
  <c r="R20" i="4" s="1"/>
  <c r="H15" i="4" s="1"/>
  <c r="R19" i="1"/>
  <c r="S5" i="4" l="1"/>
  <c r="H3" i="4" s="1"/>
  <c r="S11" i="4"/>
  <c r="H7" i="4" s="1"/>
  <c r="G7" i="4"/>
  <c r="G5" i="4"/>
  <c r="S7" i="4"/>
  <c r="H5" i="4" s="1"/>
  <c r="S9" i="4"/>
  <c r="H6" i="4" s="1"/>
  <c r="S3" i="4"/>
  <c r="H4" i="4" s="1"/>
  <c r="I41" i="1"/>
  <c r="R18" i="1"/>
  <c r="L41" i="1" l="1"/>
  <c r="M41" i="1"/>
  <c r="I34" i="1"/>
  <c r="T17" i="1"/>
  <c r="U17" i="1" s="1"/>
  <c r="I35" i="1" s="1"/>
  <c r="T12" i="1"/>
  <c r="X25" i="1"/>
  <c r="I27" i="1" s="1"/>
  <c r="X22" i="1"/>
  <c r="I26" i="1" s="1"/>
  <c r="W22" i="1"/>
  <c r="U12" i="1" l="1"/>
  <c r="I25" i="1" s="1"/>
  <c r="M25" i="1" s="1"/>
  <c r="U9" i="1"/>
  <c r="I22" i="1" s="1"/>
  <c r="M22" i="1" s="1"/>
  <c r="L27" i="1"/>
  <c r="M27" i="1"/>
  <c r="L35" i="1"/>
  <c r="M35" i="1"/>
  <c r="L34" i="1"/>
  <c r="M34" i="1"/>
  <c r="L26" i="1"/>
  <c r="M26" i="1"/>
  <c r="R11" i="1"/>
  <c r="L22" i="1" l="1"/>
  <c r="L25" i="1"/>
  <c r="W19" i="1"/>
  <c r="X41" i="1"/>
  <c r="I43" i="1" s="1"/>
  <c r="X37" i="1"/>
  <c r="I39" i="1" s="1"/>
  <c r="X39" i="1"/>
  <c r="I40" i="1" s="1"/>
  <c r="X18" i="1"/>
  <c r="X17" i="1"/>
  <c r="I16" i="1" s="1"/>
  <c r="T10" i="1"/>
  <c r="U19" i="1"/>
  <c r="I42" i="1" s="1"/>
  <c r="T15" i="1"/>
  <c r="U15" i="1" s="1"/>
  <c r="R5" i="1"/>
  <c r="U13" i="1" l="1"/>
  <c r="I29" i="1" s="1"/>
  <c r="M29" i="1" s="1"/>
  <c r="U10" i="1"/>
  <c r="I23" i="1" s="1"/>
  <c r="M23" i="1" s="1"/>
  <c r="I32" i="1"/>
  <c r="M32" i="1" s="1"/>
  <c r="L42" i="1"/>
  <c r="M42" i="1"/>
  <c r="M16" i="1"/>
  <c r="L16" i="1"/>
  <c r="M40" i="1"/>
  <c r="L40" i="1"/>
  <c r="M43" i="1"/>
  <c r="L43" i="1"/>
  <c r="M39" i="1"/>
  <c r="L39" i="1"/>
  <c r="I17" i="1"/>
  <c r="X19" i="1"/>
  <c r="W32" i="1"/>
  <c r="X32" i="1" s="1"/>
  <c r="I36" i="1" s="1"/>
  <c r="L36" i="1" s="1"/>
  <c r="W12" i="1"/>
  <c r="X12" i="1" s="1"/>
  <c r="I13" i="1" s="1"/>
  <c r="X27" i="1"/>
  <c r="I30" i="1" s="1"/>
  <c r="X29" i="1"/>
  <c r="I33" i="1" s="1"/>
  <c r="T11" i="1"/>
  <c r="T7" i="1"/>
  <c r="U2" i="1"/>
  <c r="I5" i="1" s="1"/>
  <c r="T4" i="1"/>
  <c r="U4" i="1" s="1"/>
  <c r="R2" i="1"/>
  <c r="L32" i="1" l="1"/>
  <c r="L29" i="1"/>
  <c r="L23" i="1"/>
  <c r="I8" i="1"/>
  <c r="M8" i="1" s="1"/>
  <c r="U8" i="1"/>
  <c r="I21" i="1" s="1"/>
  <c r="M21" i="1" s="1"/>
  <c r="U3" i="1"/>
  <c r="I6" i="1" s="1"/>
  <c r="M6" i="1" s="1"/>
  <c r="U7" i="1"/>
  <c r="I20" i="1" s="1"/>
  <c r="M20" i="1" s="1"/>
  <c r="U11" i="1"/>
  <c r="I24" i="1" s="1"/>
  <c r="M24" i="1" s="1"/>
  <c r="W35" i="1"/>
  <c r="I7" i="1"/>
  <c r="M7" i="1" s="1"/>
  <c r="I14" i="1"/>
  <c r="M14" i="1" s="1"/>
  <c r="I31" i="1"/>
  <c r="M31" i="1" s="1"/>
  <c r="L14" i="1"/>
  <c r="L5" i="1"/>
  <c r="M5" i="1"/>
  <c r="M33" i="1"/>
  <c r="L33" i="1"/>
  <c r="M13" i="1"/>
  <c r="L13" i="1"/>
  <c r="M17" i="1"/>
  <c r="L17" i="1"/>
  <c r="M30" i="1"/>
  <c r="L30" i="1"/>
  <c r="I18" i="1"/>
  <c r="R3" i="1"/>
  <c r="L21" i="1" l="1"/>
  <c r="W7" i="1"/>
  <c r="X7" i="1"/>
  <c r="W8" i="1"/>
  <c r="X8" i="1"/>
  <c r="W2" i="1"/>
  <c r="L8" i="1"/>
  <c r="L20" i="1"/>
  <c r="I9" i="1"/>
  <c r="L9" i="1" s="1"/>
  <c r="L24" i="1"/>
  <c r="L31" i="1"/>
  <c r="L7" i="1"/>
  <c r="L6" i="1"/>
  <c r="X14" i="1"/>
  <c r="I15" i="1" s="1"/>
  <c r="X35" i="1"/>
  <c r="I38" i="1" s="1"/>
  <c r="M18" i="1"/>
  <c r="L18" i="1"/>
  <c r="X2" i="1"/>
  <c r="M9" i="1" l="1"/>
  <c r="L38" i="1"/>
  <c r="M38" i="1"/>
  <c r="L15" i="1"/>
  <c r="M15" i="1"/>
  <c r="W9" i="1"/>
  <c r="X9" i="1" s="1"/>
  <c r="I12" i="1" s="1"/>
  <c r="Q9" i="1"/>
  <c r="M12" i="1" l="1"/>
  <c r="L12" i="1"/>
  <c r="R9" i="1"/>
  <c r="W3" i="1" s="1"/>
  <c r="W5" i="1" l="1"/>
  <c r="X5" i="1"/>
  <c r="X3" i="1"/>
  <c r="W4" i="1" s="1"/>
  <c r="X4" i="1" s="1"/>
  <c r="I10" i="1" s="1"/>
  <c r="W6" i="1" l="1"/>
  <c r="X6" i="1" s="1"/>
  <c r="I11" i="1" s="1"/>
  <c r="M10" i="1"/>
  <c r="L10" i="1"/>
  <c r="M11" i="1" l="1"/>
  <c r="L11" i="1"/>
</calcChain>
</file>

<file path=xl/sharedStrings.xml><?xml version="1.0" encoding="utf-8"?>
<sst xmlns="http://schemas.openxmlformats.org/spreadsheetml/2006/main" count="413" uniqueCount="309">
  <si>
    <t>Point</t>
  </si>
  <si>
    <t>N</t>
  </si>
  <si>
    <t>S</t>
  </si>
  <si>
    <t>X</t>
  </si>
  <si>
    <t>Y</t>
  </si>
  <si>
    <t>Droite</t>
  </si>
  <si>
    <t>A</t>
  </si>
  <si>
    <t>SN</t>
  </si>
  <si>
    <t>FH</t>
  </si>
  <si>
    <t>X u</t>
  </si>
  <si>
    <t>Y v</t>
  </si>
  <si>
    <t>Ba</t>
  </si>
  <si>
    <t>Sba</t>
  </si>
  <si>
    <t>SNB</t>
  </si>
  <si>
    <t>SNBA</t>
  </si>
  <si>
    <t>NB</t>
  </si>
  <si>
    <t>NA</t>
  </si>
  <si>
    <t>SNA</t>
  </si>
  <si>
    <t>N 90 FH</t>
  </si>
  <si>
    <t>C</t>
  </si>
  <si>
    <t>Angle</t>
  </si>
  <si>
    <t>tangente</t>
  </si>
  <si>
    <t>degree</t>
  </si>
  <si>
    <t>SNFH</t>
  </si>
  <si>
    <t>point c</t>
  </si>
  <si>
    <t>n90fh</t>
  </si>
  <si>
    <t>PtA N90FH</t>
  </si>
  <si>
    <t>Distance A</t>
  </si>
  <si>
    <t>PTgn N90FH</t>
  </si>
  <si>
    <t>Distance PG</t>
  </si>
  <si>
    <t>PtA FH</t>
  </si>
  <si>
    <t>PtB FH</t>
  </si>
  <si>
    <t>AF AH</t>
  </si>
  <si>
    <t>Occ plan</t>
  </si>
  <si>
    <t>PtA OCC</t>
  </si>
  <si>
    <t>PTB OCC</t>
  </si>
  <si>
    <t>AO BO</t>
  </si>
  <si>
    <t>NPg</t>
  </si>
  <si>
    <t>SNPg</t>
  </si>
  <si>
    <t>Pg 90 NB</t>
  </si>
  <si>
    <t>PG TO NB</t>
  </si>
  <si>
    <t>CALIBRE</t>
  </si>
  <si>
    <t>Distance</t>
  </si>
  <si>
    <t>Co</t>
  </si>
  <si>
    <t>Co A</t>
  </si>
  <si>
    <t>Co Gn</t>
  </si>
  <si>
    <t>Difference</t>
  </si>
  <si>
    <t>SN MP</t>
  </si>
  <si>
    <t>ANS</t>
  </si>
  <si>
    <t>PP</t>
  </si>
  <si>
    <t>SN PP</t>
  </si>
  <si>
    <t>MP PP</t>
  </si>
  <si>
    <t>FH OP</t>
  </si>
  <si>
    <t>MP</t>
  </si>
  <si>
    <t>S GN</t>
  </si>
  <si>
    <t>NSGn</t>
  </si>
  <si>
    <t>Post mand</t>
  </si>
  <si>
    <t>Ar</t>
  </si>
  <si>
    <t>mand ang</t>
  </si>
  <si>
    <t>Go</t>
  </si>
  <si>
    <t>Go S</t>
  </si>
  <si>
    <t>N me</t>
  </si>
  <si>
    <t>PFH/AFH</t>
  </si>
  <si>
    <t>N ANS</t>
  </si>
  <si>
    <t>ANS me</t>
  </si>
  <si>
    <t>Facial index</t>
  </si>
  <si>
    <t>U1</t>
  </si>
  <si>
    <t>L1</t>
  </si>
  <si>
    <t>U1 NA</t>
  </si>
  <si>
    <t>U1 SN</t>
  </si>
  <si>
    <t>L1 NB</t>
  </si>
  <si>
    <t>L1 MP</t>
  </si>
  <si>
    <t>U1 L1</t>
  </si>
  <si>
    <t>PtU1 NA</t>
  </si>
  <si>
    <t>U1 NA  mm</t>
  </si>
  <si>
    <t>Pt L1 NB</t>
  </si>
  <si>
    <t>U1 occ</t>
  </si>
  <si>
    <t>L1 occ</t>
  </si>
  <si>
    <t>overjet</t>
  </si>
  <si>
    <t>overbite</t>
  </si>
  <si>
    <t>D U1 occ</t>
  </si>
  <si>
    <t>D L1 occ</t>
  </si>
  <si>
    <t>ant max alv ht</t>
  </si>
  <si>
    <t>U1 ic PP</t>
  </si>
  <si>
    <t>U6 ic PP</t>
  </si>
  <si>
    <t>Post max alv ht</t>
  </si>
  <si>
    <t>low nose</t>
  </si>
  <si>
    <t>upper lip</t>
  </si>
  <si>
    <t>Soft pog</t>
  </si>
  <si>
    <t>SANS nose</t>
  </si>
  <si>
    <t>Sans uplip</t>
  </si>
  <si>
    <t>naso labial</t>
  </si>
  <si>
    <t>H angle</t>
  </si>
  <si>
    <t>SPOG upLIP</t>
  </si>
  <si>
    <t>E line</t>
  </si>
  <si>
    <t>Up to e line</t>
  </si>
  <si>
    <t>UP to e line mm</t>
  </si>
  <si>
    <t>Mag</t>
  </si>
  <si>
    <t>Sagittal Assessment</t>
  </si>
  <si>
    <t>Norm</t>
  </si>
  <si>
    <t>S.D.</t>
  </si>
  <si>
    <t>Before Tx</t>
  </si>
  <si>
    <t>After Tx</t>
  </si>
  <si>
    <t>Antero-posterior</t>
  </si>
  <si>
    <t>NS-FH</t>
  </si>
  <si>
    <t>NS-Ba</t>
  </si>
  <si>
    <t>ANB</t>
  </si>
  <si>
    <t>A to N perpend.</t>
  </si>
  <si>
    <t>AF-BF (mm.)</t>
  </si>
  <si>
    <t>AO-BO (mm.)</t>
  </si>
  <si>
    <t>Pg-NB (mm.)</t>
  </si>
  <si>
    <t>Co-A (mm.)</t>
  </si>
  <si>
    <t>Co-Gn (mm.)</t>
  </si>
  <si>
    <t>Max-mand difference</t>
  </si>
  <si>
    <t>Vertical</t>
  </si>
  <si>
    <t>NS-MP</t>
  </si>
  <si>
    <t>NS-PP</t>
  </si>
  <si>
    <t>MP-PP</t>
  </si>
  <si>
    <t>FH-FO</t>
  </si>
  <si>
    <t>NS-Gn</t>
  </si>
  <si>
    <t>Mand.Angle</t>
  </si>
  <si>
    <t>PFH/AFH:</t>
  </si>
  <si>
    <t>Facial ndex</t>
  </si>
  <si>
    <t>U1-NA</t>
  </si>
  <si>
    <t>U1-NA (mm.)</t>
  </si>
  <si>
    <t>U1-SN</t>
  </si>
  <si>
    <t>L1-NB</t>
  </si>
  <si>
    <t>L1-NB (mm.)</t>
  </si>
  <si>
    <t>L1-MP</t>
  </si>
  <si>
    <t>Inter-incisal angle</t>
  </si>
  <si>
    <t>Overjet (mm.)</t>
  </si>
  <si>
    <t>Overbite (mm.)</t>
  </si>
  <si>
    <t>Ant. Max. alv. ht (mm.)</t>
  </si>
  <si>
    <t>Normal anterior maxilla alveolar height</t>
  </si>
  <si>
    <t>Post. max. alv.ht (mm.</t>
  </si>
  <si>
    <t>Naso-labial angle</t>
  </si>
  <si>
    <t>Normal naso-labial angle</t>
  </si>
  <si>
    <t>H-angle</t>
  </si>
  <si>
    <t>Lower lip to E – plane</t>
  </si>
  <si>
    <t xml:space="preserve"> CEPHALOMETRIC ANALYSIS CHART FEMALE</t>
  </si>
  <si>
    <t>Thai female</t>
  </si>
  <si>
    <t>During Tx</t>
  </si>
  <si>
    <t>B to N perpend.</t>
  </si>
  <si>
    <t>L1 NB mm</t>
  </si>
  <si>
    <t>%</t>
  </si>
  <si>
    <t>Line</t>
  </si>
  <si>
    <t>Projection</t>
  </si>
  <si>
    <t>PIXEL</t>
  </si>
  <si>
    <t>CENTIMETRE</t>
  </si>
  <si>
    <t>DIFFERENCE</t>
  </si>
  <si>
    <t>angle</t>
  </si>
  <si>
    <t>Cg</t>
  </si>
  <si>
    <t>FIELD</t>
  </si>
  <si>
    <t>Left (mm)</t>
  </si>
  <si>
    <t>Right (mm)</t>
  </si>
  <si>
    <t>Difference (mm)</t>
  </si>
  <si>
    <t>per MSR</t>
  </si>
  <si>
    <t>MSR</t>
  </si>
  <si>
    <t>Co left</t>
  </si>
  <si>
    <t>Ans</t>
  </si>
  <si>
    <t>Z Distance</t>
  </si>
  <si>
    <t>90 msr</t>
  </si>
  <si>
    <t>Co right</t>
  </si>
  <si>
    <t>ZZ</t>
  </si>
  <si>
    <t>Co Distance</t>
  </si>
  <si>
    <t>Z left</t>
  </si>
  <si>
    <t>ZA</t>
  </si>
  <si>
    <t>ZA Distance</t>
  </si>
  <si>
    <t>Z right</t>
  </si>
  <si>
    <t>Co Co</t>
  </si>
  <si>
    <t>J Distance</t>
  </si>
  <si>
    <t>Za left</t>
  </si>
  <si>
    <t>J J</t>
  </si>
  <si>
    <t>Ag Distance</t>
  </si>
  <si>
    <t>Za right</t>
  </si>
  <si>
    <t>Ag Ag</t>
  </si>
  <si>
    <t>Mand Offset (at Me)</t>
  </si>
  <si>
    <t>J left</t>
  </si>
  <si>
    <t>A6 A6</t>
  </si>
  <si>
    <t>Co to MSR</t>
  </si>
  <si>
    <t>J right</t>
  </si>
  <si>
    <t>ZA to MSR</t>
  </si>
  <si>
    <t>Ag left</t>
  </si>
  <si>
    <t>J to MSR</t>
  </si>
  <si>
    <t>Ag right</t>
  </si>
  <si>
    <t>Ag to MSR</t>
  </si>
  <si>
    <t>ME</t>
  </si>
  <si>
    <t>co co</t>
  </si>
  <si>
    <t>A1 Offset</t>
  </si>
  <si>
    <t>A1</t>
  </si>
  <si>
    <t>Z Z</t>
  </si>
  <si>
    <t>Me</t>
  </si>
  <si>
    <t>B1 Offset</t>
  </si>
  <si>
    <t>B1</t>
  </si>
  <si>
    <t>Za Za</t>
  </si>
  <si>
    <t>A6 Height</t>
  </si>
  <si>
    <t>A6 left</t>
  </si>
  <si>
    <t>A6 right</t>
  </si>
  <si>
    <t>CALIBRE1</t>
  </si>
  <si>
    <t>CALIBRE2</t>
  </si>
  <si>
    <t>MESURE</t>
  </si>
  <si>
    <t>DISTANCE</t>
  </si>
  <si>
    <t>space condition</t>
  </si>
  <si>
    <t>UPPER</t>
  </si>
  <si>
    <t>LOWER</t>
  </si>
  <si>
    <t>+</t>
  </si>
  <si>
    <t>-</t>
  </si>
  <si>
    <t>Model analysis</t>
  </si>
  <si>
    <t>Uprighting of the incisors</t>
  </si>
  <si>
    <t>Correction curve of Spee</t>
  </si>
  <si>
    <t>Correcting incisal fan form</t>
  </si>
  <si>
    <t>Extraction 14, 24</t>
  </si>
  <si>
    <t>Stripping</t>
  </si>
  <si>
    <t>UR</t>
  </si>
  <si>
    <t>UC</t>
  </si>
  <si>
    <t>UL</t>
  </si>
  <si>
    <t>Frontal expansion</t>
  </si>
  <si>
    <t>LR</t>
  </si>
  <si>
    <t>LC</t>
  </si>
  <si>
    <t>LL</t>
  </si>
  <si>
    <t>Lateral expansion</t>
  </si>
  <si>
    <t>ant</t>
  </si>
  <si>
    <t>post</t>
  </si>
  <si>
    <t>Upright/ derotate/ distalize #6</t>
  </si>
  <si>
    <t>SD</t>
  </si>
  <si>
    <t>Subtotal</t>
  </si>
  <si>
    <t>Total space condition</t>
  </si>
  <si>
    <t>UPPER MODEL</t>
  </si>
  <si>
    <t>RIGHT BUFFER ZONE</t>
  </si>
  <si>
    <t>SUM OF INCISOR</t>
  </si>
  <si>
    <t>LEFT BUFFER ZONE</t>
  </si>
  <si>
    <t>SPACE AVAILABLE</t>
  </si>
  <si>
    <t>SPACE REQUIRED</t>
  </si>
  <si>
    <t>TOTAL DISCREPANCY</t>
  </si>
  <si>
    <t>mm</t>
  </si>
  <si>
    <t>LOWER MODEL</t>
  </si>
  <si>
    <t>orthognatic maxilla</t>
  </si>
  <si>
    <t>orthognatic mandible</t>
  </si>
  <si>
    <t>Normal lenght of maxilla</t>
  </si>
  <si>
    <t>normal inclination of the mandible</t>
  </si>
  <si>
    <t>Normal inclination of the chin</t>
  </si>
  <si>
    <t>INV mag</t>
  </si>
  <si>
    <t>distantce</t>
  </si>
  <si>
    <t>Suborbital</t>
  </si>
  <si>
    <t>oricular</t>
  </si>
  <si>
    <t>Inbormand</t>
  </si>
  <si>
    <t>menton</t>
  </si>
  <si>
    <t>gnathion</t>
  </si>
  <si>
    <t>pog</t>
  </si>
  <si>
    <t>Pt B</t>
  </si>
  <si>
    <t>L1 apex</t>
  </si>
  <si>
    <t>L1 incisal</t>
  </si>
  <si>
    <t>U1 incisal</t>
  </si>
  <si>
    <t>U1 apex</t>
  </si>
  <si>
    <t>Pt A</t>
  </si>
  <si>
    <t>Post ANS</t>
  </si>
  <si>
    <t>U6 occlusal</t>
  </si>
  <si>
    <t>Occlusal 1</t>
  </si>
  <si>
    <t>Occlusal 2</t>
  </si>
  <si>
    <t>Distance 1</t>
  </si>
  <si>
    <t>Distance 2</t>
  </si>
  <si>
    <t>front nose</t>
  </si>
  <si>
    <t>soft ans</t>
  </si>
  <si>
    <t>lower lip</t>
  </si>
  <si>
    <t xml:space="preserve"> </t>
  </si>
  <si>
    <t>Normal orientation of the posterior cranial base</t>
  </si>
  <si>
    <t>position of the chin</t>
  </si>
  <si>
    <t>Normal mandibular angle</t>
  </si>
  <si>
    <t>Normal size middle face in relation to lower face</t>
  </si>
  <si>
    <t>incisive</t>
  </si>
  <si>
    <t>max</t>
  </si>
  <si>
    <t>mand</t>
  </si>
  <si>
    <r>
      <t xml:space="preserve">PREDICTION EQUATION FOR </t>
    </r>
    <r>
      <rPr>
        <b/>
        <sz val="10"/>
        <color rgb="FFFF0000"/>
        <rFont val="Arial"/>
        <family val="2"/>
      </rPr>
      <t>THAI</t>
    </r>
  </si>
  <si>
    <t>maxilla</t>
  </si>
  <si>
    <t>interca</t>
  </si>
  <si>
    <t>intermo</t>
  </si>
  <si>
    <t>righ</t>
  </si>
  <si>
    <t>left</t>
  </si>
  <si>
    <t>rigt</t>
  </si>
  <si>
    <t>mandible</t>
  </si>
  <si>
    <t>Prognatic maxilla</t>
  </si>
  <si>
    <t>skeletal class II</t>
  </si>
  <si>
    <t>Retrognatic mandible</t>
  </si>
  <si>
    <t>skeletal class I</t>
  </si>
  <si>
    <t>Tendency to retrognathic bony chin prominence</t>
  </si>
  <si>
    <t>Short lenght of mandible</t>
  </si>
  <si>
    <t>Short mandible to maxilla ratio</t>
  </si>
  <si>
    <t>Anterior inclination of the maxilla</t>
  </si>
  <si>
    <t>Open configuration</t>
  </si>
  <si>
    <t>Excessive PFH in relation to AFH</t>
  </si>
  <si>
    <t>Proclination of U1 in relation to maxilla</t>
  </si>
  <si>
    <t>Tendency to protrusion of U1</t>
  </si>
  <si>
    <t>Proclination of U1 in relation to anterior cranial base</t>
  </si>
  <si>
    <t>Proclination of L1 in relation to alveolar bone</t>
  </si>
  <si>
    <t>Protrusion of L1</t>
  </si>
  <si>
    <t>Proclination of L1 in relation to mandible</t>
  </si>
  <si>
    <t>Acute inter-incisal angle</t>
  </si>
  <si>
    <t>Excessive overjet</t>
  </si>
  <si>
    <t>Open bite</t>
  </si>
  <si>
    <t>Tendency to protrusive soft tissue profile</t>
  </si>
  <si>
    <t>Protrusive position of  lower lips</t>
  </si>
  <si>
    <t>Lower excess 1 mm</t>
  </si>
  <si>
    <t>Lower excess 1.5 mm</t>
  </si>
  <si>
    <t>Canine</t>
  </si>
  <si>
    <t>Molar</t>
  </si>
  <si>
    <t>Tendency to increase of the posterior maxilla alveolar height</t>
  </si>
  <si>
    <t>Normal orientation  of the anterior cranial base</t>
  </si>
  <si>
    <t>Tendency skeletal class II</t>
  </si>
  <si>
    <t>Normal inclination of the occlusal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</si>
</sst>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sz val="14"/>
      <name val="Times New Roman"/>
      <family val="1"/>
    </font>
    <font>
      <b/>
      <sz val="14"/>
      <color theme="9" tint="-0.249977111117893"/>
      <name val="Calibri"/>
      <family val="2"/>
      <scheme val="minor"/>
    </font>
    <font>
      <sz val="10.5"/>
      <color theme="1"/>
      <name val="Courier New"/>
      <family val="3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FD3D"/>
        <bgColor indexed="64"/>
      </patternFill>
    </fill>
    <fill>
      <patternFill patternType="solid">
        <fgColor rgb="FF3DEB3D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8FA38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0" fillId="2" borderId="0" xfId="0" applyFill="1"/>
    <xf numFmtId="2" fontId="0" fillId="3" borderId="1" xfId="0" applyNumberFormat="1" applyFont="1" applyFill="1" applyBorder="1"/>
    <xf numFmtId="0" fontId="0" fillId="4" borderId="0" xfId="0" applyFill="1"/>
    <xf numFmtId="2" fontId="0" fillId="5" borderId="1" xfId="0" applyNumberFormat="1" applyFont="1" applyFill="1" applyBorder="1"/>
    <xf numFmtId="0" fontId="0" fillId="5" borderId="0" xfId="0" applyFill="1"/>
    <xf numFmtId="0" fontId="1" fillId="5" borderId="0" xfId="0" applyFont="1" applyFill="1"/>
    <xf numFmtId="0" fontId="1" fillId="4" borderId="0" xfId="0" applyFont="1" applyFill="1"/>
    <xf numFmtId="0" fontId="0" fillId="5" borderId="0" xfId="0" applyFill="1" applyBorder="1"/>
    <xf numFmtId="0" fontId="0" fillId="3" borderId="0" xfId="0" applyFill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6" borderId="9" xfId="0" applyFont="1" applyFill="1" applyBorder="1"/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2" fontId="0" fillId="7" borderId="1" xfId="0" applyNumberFormat="1" applyFont="1" applyFill="1" applyBorder="1"/>
    <xf numFmtId="2" fontId="0" fillId="7" borderId="12" xfId="0" applyNumberFormat="1" applyFill="1" applyBorder="1" applyAlignment="1">
      <alignment horizontal="center"/>
    </xf>
    <xf numFmtId="2" fontId="0" fillId="7" borderId="13" xfId="0" applyNumberFormat="1" applyFill="1" applyBorder="1" applyAlignment="1">
      <alignment horizontal="center"/>
    </xf>
    <xf numFmtId="2" fontId="0" fillId="0" borderId="14" xfId="0" applyNumberFormat="1" applyFont="1" applyBorder="1"/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7" borderId="14" xfId="0" applyNumberFormat="1" applyFont="1" applyFill="1" applyBorder="1"/>
    <xf numFmtId="2" fontId="0" fillId="7" borderId="15" xfId="0" applyNumberFormat="1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2" fontId="0" fillId="0" borderId="18" xfId="0" applyNumberFormat="1" applyFont="1" applyBorder="1"/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4" fillId="6" borderId="9" xfId="0" applyNumberFormat="1" applyFont="1" applyFill="1" applyBorder="1"/>
    <xf numFmtId="2" fontId="0" fillId="6" borderId="10" xfId="0" applyNumberFormat="1" applyFill="1" applyBorder="1" applyAlignment="1">
      <alignment horizontal="center"/>
    </xf>
    <xf numFmtId="2" fontId="5" fillId="6" borderId="9" xfId="0" applyNumberFormat="1" applyFont="1" applyFill="1" applyBorder="1"/>
    <xf numFmtId="2" fontId="0" fillId="0" borderId="22" xfId="0" applyNumberFormat="1" applyFont="1" applyBorder="1"/>
    <xf numFmtId="2" fontId="0" fillId="0" borderId="2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8" fillId="0" borderId="0" xfId="0" applyFont="1"/>
    <xf numFmtId="0" fontId="0" fillId="0" borderId="13" xfId="0" applyBorder="1"/>
    <xf numFmtId="0" fontId="0" fillId="0" borderId="24" xfId="0" applyBorder="1"/>
    <xf numFmtId="0" fontId="0" fillId="0" borderId="12" xfId="0" applyFill="1" applyBorder="1"/>
    <xf numFmtId="0" fontId="1" fillId="0" borderId="0" xfId="0" applyFont="1"/>
    <xf numFmtId="0" fontId="0" fillId="0" borderId="25" xfId="0" applyBorder="1"/>
    <xf numFmtId="2" fontId="0" fillId="0" borderId="26" xfId="0" applyNumberForma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7" fillId="0" borderId="0" xfId="1"/>
    <xf numFmtId="0" fontId="9" fillId="0" borderId="31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10" fillId="0" borderId="35" xfId="1" applyFont="1" applyBorder="1" applyAlignment="1">
      <alignment horizontal="center"/>
    </xf>
    <xf numFmtId="0" fontId="11" fillId="0" borderId="36" xfId="1" applyFont="1" applyBorder="1" applyAlignment="1">
      <alignment horizontal="center"/>
    </xf>
    <xf numFmtId="0" fontId="7" fillId="0" borderId="31" xfId="1" applyBorder="1" applyAlignment="1">
      <alignment horizontal="center"/>
    </xf>
    <xf numFmtId="0" fontId="7" fillId="0" borderId="32" xfId="1" applyBorder="1" applyAlignment="1">
      <alignment horizontal="center"/>
    </xf>
    <xf numFmtId="0" fontId="7" fillId="0" borderId="33" xfId="1" applyBorder="1" applyAlignment="1">
      <alignment horizontal="center"/>
    </xf>
    <xf numFmtId="0" fontId="7" fillId="0" borderId="34" xfId="1" applyBorder="1"/>
    <xf numFmtId="0" fontId="7" fillId="0" borderId="37" xfId="1" applyBorder="1"/>
    <xf numFmtId="0" fontId="7" fillId="0" borderId="38" xfId="1" applyBorder="1"/>
    <xf numFmtId="0" fontId="7" fillId="11" borderId="34" xfId="1" applyFill="1" applyBorder="1"/>
    <xf numFmtId="0" fontId="7" fillId="0" borderId="37" xfId="1" applyFill="1" applyBorder="1"/>
    <xf numFmtId="0" fontId="7" fillId="11" borderId="38" xfId="1" applyFill="1" applyBorder="1"/>
    <xf numFmtId="0" fontId="7" fillId="2" borderId="34" xfId="1" applyFill="1" applyBorder="1"/>
    <xf numFmtId="0" fontId="7" fillId="2" borderId="37" xfId="1" applyFill="1" applyBorder="1"/>
    <xf numFmtId="0" fontId="7" fillId="0" borderId="38" xfId="1" applyFill="1" applyBorder="1"/>
    <xf numFmtId="0" fontId="7" fillId="0" borderId="39" xfId="1" applyBorder="1" applyAlignment="1">
      <alignment horizontal="center"/>
    </xf>
    <xf numFmtId="0" fontId="7" fillId="2" borderId="40" xfId="1" applyFill="1" applyBorder="1"/>
    <xf numFmtId="0" fontId="7" fillId="11" borderId="41" xfId="1" applyFill="1" applyBorder="1"/>
    <xf numFmtId="0" fontId="7" fillId="0" borderId="8" xfId="1" applyBorder="1"/>
    <xf numFmtId="0" fontId="12" fillId="0" borderId="42" xfId="1" applyFont="1" applyBorder="1"/>
    <xf numFmtId="0" fontId="12" fillId="0" borderId="43" xfId="1" applyFont="1" applyBorder="1"/>
    <xf numFmtId="0" fontId="12" fillId="0" borderId="44" xfId="1" applyFont="1" applyBorder="1"/>
    <xf numFmtId="0" fontId="12" fillId="0" borderId="45" xfId="1" applyFont="1" applyBorder="1"/>
    <xf numFmtId="0" fontId="12" fillId="0" borderId="31" xfId="1" applyFont="1" applyBorder="1"/>
    <xf numFmtId="0" fontId="12" fillId="0" borderId="32" xfId="1" applyFont="1" applyBorder="1"/>
    <xf numFmtId="0" fontId="12" fillId="0" borderId="33" xfId="1" applyFont="1" applyBorder="1"/>
    <xf numFmtId="2" fontId="6" fillId="8" borderId="12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7" borderId="15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0" fillId="6" borderId="46" xfId="0" applyFill="1" applyBorder="1" applyAlignment="1">
      <alignment horizontal="center"/>
    </xf>
    <xf numFmtId="2" fontId="7" fillId="7" borderId="13" xfId="0" applyNumberFormat="1" applyFont="1" applyFill="1" applyBorder="1" applyAlignment="1">
      <alignment horizontal="center"/>
    </xf>
    <xf numFmtId="2" fontId="7" fillId="7" borderId="16" xfId="0" applyNumberFormat="1" applyFont="1" applyFill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2" fontId="15" fillId="0" borderId="16" xfId="0" applyNumberFormat="1" applyFont="1" applyBorder="1" applyAlignment="1">
      <alignment horizontal="center"/>
    </xf>
    <xf numFmtId="2" fontId="6" fillId="6" borderId="21" xfId="0" applyNumberFormat="1" applyFont="1" applyFill="1" applyBorder="1" applyAlignment="1">
      <alignment horizontal="center"/>
    </xf>
    <xf numFmtId="2" fontId="6" fillId="7" borderId="12" xfId="0" applyNumberFormat="1" applyFont="1" applyFill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2" fontId="6" fillId="3" borderId="19" xfId="0" applyNumberFormat="1" applyFont="1" applyFill="1" applyBorder="1" applyAlignment="1">
      <alignment horizontal="center"/>
    </xf>
    <xf numFmtId="2" fontId="15" fillId="7" borderId="12" xfId="0" applyNumberFormat="1" applyFont="1" applyFill="1" applyBorder="1" applyAlignment="1">
      <alignment horizontal="center"/>
    </xf>
    <xf numFmtId="2" fontId="15" fillId="8" borderId="12" xfId="0" applyNumberFormat="1" applyFont="1" applyFill="1" applyBorder="1" applyAlignment="1">
      <alignment horizontal="center"/>
    </xf>
    <xf numFmtId="2" fontId="15" fillId="12" borderId="15" xfId="0" applyNumberFormat="1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2" fontId="15" fillId="7" borderId="15" xfId="0" applyNumberFormat="1" applyFont="1" applyFill="1" applyBorder="1" applyAlignment="1">
      <alignment horizontal="center"/>
    </xf>
    <xf numFmtId="2" fontId="15" fillId="8" borderId="15" xfId="0" applyNumberFormat="1" applyFont="1" applyFill="1" applyBorder="1" applyAlignment="1">
      <alignment horizontal="center"/>
    </xf>
    <xf numFmtId="2" fontId="15" fillId="3" borderId="19" xfId="0" applyNumberFormat="1" applyFont="1" applyFill="1" applyBorder="1" applyAlignment="1">
      <alignment horizontal="center"/>
    </xf>
    <xf numFmtId="2" fontId="15" fillId="3" borderId="15" xfId="0" applyNumberFormat="1" applyFont="1" applyFill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3" borderId="42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2" fontId="17" fillId="7" borderId="15" xfId="0" applyNumberFormat="1" applyFont="1" applyFill="1" applyBorder="1" applyAlignment="1">
      <alignment horizontal="center"/>
    </xf>
    <xf numFmtId="2" fontId="17" fillId="8" borderId="15" xfId="0" applyNumberFormat="1" applyFont="1" applyFill="1" applyBorder="1" applyAlignment="1">
      <alignment horizontal="center"/>
    </xf>
    <xf numFmtId="2" fontId="16" fillId="7" borderId="16" xfId="0" applyNumberFormat="1" applyFont="1" applyFill="1" applyBorder="1" applyAlignment="1">
      <alignment horizontal="center"/>
    </xf>
    <xf numFmtId="2" fontId="16" fillId="0" borderId="16" xfId="0" applyNumberFormat="1" applyFont="1" applyBorder="1" applyAlignment="1">
      <alignment horizontal="center"/>
    </xf>
    <xf numFmtId="2" fontId="15" fillId="7" borderId="16" xfId="0" applyNumberFormat="1" applyFont="1" applyFill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2" fontId="17" fillId="0" borderId="15" xfId="0" applyNumberFormat="1" applyFont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2" fontId="17" fillId="3" borderId="15" xfId="0" applyNumberFormat="1" applyFont="1" applyFill="1" applyBorder="1" applyAlignment="1">
      <alignment horizontal="center"/>
    </xf>
    <xf numFmtId="2" fontId="18" fillId="7" borderId="16" xfId="0" applyNumberFormat="1" applyFont="1" applyFill="1" applyBorder="1" applyAlignment="1">
      <alignment horizontal="center"/>
    </xf>
    <xf numFmtId="2" fontId="16" fillId="7" borderId="13" xfId="0" applyNumberFormat="1" applyFont="1" applyFill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2" fontId="6" fillId="12" borderId="15" xfId="0" applyNumberFormat="1" applyFont="1" applyFill="1" applyBorder="1" applyAlignment="1">
      <alignment horizontal="center"/>
    </xf>
    <xf numFmtId="2" fontId="19" fillId="0" borderId="16" xfId="0" applyNumberFormat="1" applyFont="1" applyBorder="1" applyAlignment="1">
      <alignment horizontal="center"/>
    </xf>
    <xf numFmtId="0" fontId="7" fillId="0" borderId="30" xfId="1" applyBorder="1" applyAlignment="1">
      <alignment horizontal="center" vertical="center"/>
    </xf>
    <xf numFmtId="0" fontId="7" fillId="0" borderId="34" xfId="1" applyBorder="1" applyAlignment="1">
      <alignment horizontal="center" vertical="center"/>
    </xf>
    <xf numFmtId="0" fontId="7" fillId="0" borderId="8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38FA38"/>
      <color rgb="FF04AC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10" customWidth="1"/>
    <col min="2" max="2" width="16.28515625" customWidth="1"/>
    <col min="8" max="8" width="8.140625" customWidth="1"/>
    <col min="9" max="9" width="10.28515625" customWidth="1"/>
    <col min="10" max="10" width="45.85546875" customWidth="1"/>
    <col min="11" max="11" width="0.42578125" customWidth="1"/>
    <col min="12" max="12" width="9.42578125" customWidth="1"/>
    <col min="13" max="13" width="15.7109375" customWidth="1"/>
    <col min="16" max="16" width="12.28515625" customWidth="1"/>
    <col min="22" max="22" width="13.5703125" customWidth="1"/>
    <col min="23" max="23" width="12" bestFit="1" customWidth="1"/>
  </cols>
  <sheetData>
    <row r="1" spans="1:24" ht="19.5" thickTop="1" thickBot="1" x14ac:dyDescent="0.3">
      <c r="B1" t="s">
        <v>0</v>
      </c>
      <c r="C1" t="s">
        <v>9</v>
      </c>
      <c r="D1" t="s">
        <v>10</v>
      </c>
      <c r="F1" s="10" t="s">
        <v>139</v>
      </c>
      <c r="G1" s="11"/>
      <c r="H1" s="11"/>
      <c r="I1" s="11"/>
      <c r="J1" s="11"/>
      <c r="K1" s="11"/>
      <c r="L1" s="12"/>
      <c r="P1" t="s">
        <v>5</v>
      </c>
      <c r="Q1" t="s">
        <v>6</v>
      </c>
      <c r="R1" t="s">
        <v>19</v>
      </c>
      <c r="S1" t="s">
        <v>20</v>
      </c>
      <c r="T1" t="s">
        <v>21</v>
      </c>
      <c r="U1" t="s">
        <v>22</v>
      </c>
      <c r="V1" t="s">
        <v>24</v>
      </c>
      <c r="W1" t="s">
        <v>3</v>
      </c>
      <c r="X1" t="s">
        <v>4</v>
      </c>
    </row>
    <row r="2" spans="1:24" ht="20.25" thickTop="1" thickBot="1" x14ac:dyDescent="0.35">
      <c r="A2" s="90">
        <v>1</v>
      </c>
      <c r="B2" t="s">
        <v>2</v>
      </c>
      <c r="C2" s="91">
        <v>736</v>
      </c>
      <c r="D2" s="91">
        <v>928</v>
      </c>
      <c r="F2" s="13"/>
      <c r="G2" s="14" t="s">
        <v>140</v>
      </c>
      <c r="H2" s="15"/>
      <c r="I2" s="15"/>
      <c r="J2" s="15"/>
      <c r="K2" s="15"/>
      <c r="L2" s="16"/>
      <c r="M2" s="17"/>
      <c r="P2" s="1" t="s">
        <v>7</v>
      </c>
      <c r="Q2" s="1">
        <f>(D3-D2)/(C3-C2)</f>
        <v>1.8518518518518517E-2</v>
      </c>
      <c r="R2" s="1">
        <f>D2-(Q2*C2)</f>
        <v>914.37037037037032</v>
      </c>
      <c r="S2" s="4" t="s">
        <v>23</v>
      </c>
      <c r="T2" s="5">
        <f>ATAN((Q3-Q2)/(1+Q2*Q3))</f>
        <v>0.11276638811819877</v>
      </c>
      <c r="U2" s="6">
        <f>DEGREES(T2)</f>
        <v>6.4610381101069825</v>
      </c>
      <c r="V2" t="s">
        <v>25</v>
      </c>
      <c r="W2">
        <f>(C3+Q3*D3-Q3*R3)/(1+Q3*Q3)</f>
        <v>1196.3383833614118</v>
      </c>
      <c r="X2" s="2">
        <f>(Q3*C3+Q3*Q3*D3+R3)/(1+Q3*Q3)</f>
        <v>1131.3439766762426</v>
      </c>
    </row>
    <row r="3" spans="1:24" ht="20.25" thickTop="1" thickBot="1" x14ac:dyDescent="0.35">
      <c r="A3" s="90">
        <v>2</v>
      </c>
      <c r="B3" t="s">
        <v>1</v>
      </c>
      <c r="C3" s="91">
        <v>1222</v>
      </c>
      <c r="D3" s="91">
        <v>937</v>
      </c>
      <c r="F3" s="18" t="s">
        <v>98</v>
      </c>
      <c r="G3" s="19" t="s">
        <v>99</v>
      </c>
      <c r="H3" s="19" t="s">
        <v>100</v>
      </c>
      <c r="I3" s="20" t="s">
        <v>101</v>
      </c>
      <c r="J3" s="20" t="s">
        <v>141</v>
      </c>
      <c r="K3" s="20"/>
      <c r="L3" s="20" t="s">
        <v>102</v>
      </c>
      <c r="M3" s="41"/>
      <c r="P3" s="1" t="s">
        <v>8</v>
      </c>
      <c r="Q3" s="1">
        <f>(D4-D5)/(C4-C5)</f>
        <v>0.13204225352112675</v>
      </c>
      <c r="R3" s="1">
        <f>D4-Q3*C4</f>
        <v>973.37676056338023</v>
      </c>
      <c r="S3" s="5" t="s">
        <v>14</v>
      </c>
      <c r="T3" s="5">
        <f>ATAN((Q2-Q5)/(1+Q2*Q5))</f>
        <v>0.95475992708639712</v>
      </c>
      <c r="U3" s="6">
        <f>180-DEGREES(T3)</f>
        <v>125.29628572973124</v>
      </c>
      <c r="V3" t="s">
        <v>26</v>
      </c>
      <c r="W3">
        <f>(C20+Q9*D20-Q9*R9)/(1+Q9*Q9)</f>
        <v>1167.2282413655491</v>
      </c>
      <c r="X3">
        <f>(Q9*C20+Q9*Q9*D20+R9)/(1+Q9*Q9)</f>
        <v>1351.804785391578</v>
      </c>
    </row>
    <row r="4" spans="1:24" ht="20.25" thickTop="1" thickBot="1" x14ac:dyDescent="0.35">
      <c r="A4" s="90">
        <v>3</v>
      </c>
      <c r="B4" t="s">
        <v>243</v>
      </c>
      <c r="C4" s="91">
        <v>1118</v>
      </c>
      <c r="D4" s="91">
        <v>1121</v>
      </c>
      <c r="F4" s="21" t="s">
        <v>103</v>
      </c>
      <c r="G4" s="22"/>
      <c r="H4" s="22"/>
      <c r="I4" s="22"/>
      <c r="J4" s="22"/>
      <c r="K4" s="92"/>
      <c r="L4" s="23"/>
      <c r="M4" s="41"/>
      <c r="S4" s="5" t="s">
        <v>17</v>
      </c>
      <c r="T4" s="5">
        <f>ATAN(((Q2-Q7)/(1+Q2*Q7)))</f>
        <v>1.5344751620536639</v>
      </c>
      <c r="U4" s="6">
        <f>DEGREES(T4) + ((ABS(T4)-T4)/(2*ABS(T4)))*180</f>
        <v>87.918950553327988</v>
      </c>
      <c r="V4" s="3" t="s">
        <v>27</v>
      </c>
      <c r="W4" s="3">
        <f>(SQRT(((W3-C20)*(W3-C20)+(X3-D20)*(X3-D20))))*ABS(W3-C20)/(-W3+C20)</f>
        <v>32.047534575010921</v>
      </c>
      <c r="X4" s="7">
        <f>W4*C35*W16/W15</f>
        <v>4.3386992020019459</v>
      </c>
    </row>
    <row r="5" spans="1:24" ht="18.75" x14ac:dyDescent="0.3">
      <c r="A5" s="90">
        <v>4</v>
      </c>
      <c r="B5" t="s">
        <v>244</v>
      </c>
      <c r="C5" s="91">
        <v>550</v>
      </c>
      <c r="D5" s="91">
        <v>1046</v>
      </c>
      <c r="F5" s="24" t="s">
        <v>104</v>
      </c>
      <c r="G5" s="25">
        <v>7</v>
      </c>
      <c r="H5" s="26">
        <v>2.58</v>
      </c>
      <c r="I5" s="85">
        <f>U2</f>
        <v>6.4610381101069825</v>
      </c>
      <c r="J5" s="103" t="s">
        <v>306</v>
      </c>
      <c r="K5" s="94"/>
      <c r="L5" s="133">
        <f t="shared" ref="L5:L10" si="0">(H5-ABS(G5-I5 ))</f>
        <v>2.0410381101069826</v>
      </c>
      <c r="M5" s="105">
        <f t="shared" ref="M5:M18" si="1">(H5-ABS(G5-I5 ))*(100/H5)</f>
        <v>79.110004267712497</v>
      </c>
      <c r="N5" t="s">
        <v>144</v>
      </c>
      <c r="P5" s="1" t="s">
        <v>12</v>
      </c>
      <c r="Q5" s="1">
        <f>(D6-D2)/(C6-C2)</f>
        <v>-1.3584905660377358</v>
      </c>
      <c r="R5" s="1">
        <f>D6-C6*Q5</f>
        <v>1927.8490566037735</v>
      </c>
      <c r="S5" s="5" t="s">
        <v>13</v>
      </c>
      <c r="T5" s="5">
        <f>ATAN((Q2-Q8)/(1+Q2*Q8))</f>
        <v>1.4360415744518187</v>
      </c>
      <c r="U5" s="6">
        <f>DEGREES(T5) + ((ABS(T5)-T5)/(2*ABS(T5)))*180</f>
        <v>82.279121421410991</v>
      </c>
      <c r="V5" t="s">
        <v>28</v>
      </c>
      <c r="W5">
        <f>(C14+Q9*D14-Q9*R9)/(1+Q9*Q9)</f>
        <v>1117.9810235522434</v>
      </c>
      <c r="X5">
        <f>(Q9*C14+Q9*Q9*D14+R9)/(1+Q9*Q9)</f>
        <v>1724.7703816310179</v>
      </c>
    </row>
    <row r="6" spans="1:24" ht="18.75" x14ac:dyDescent="0.3">
      <c r="A6" s="90">
        <v>5</v>
      </c>
      <c r="B6" t="s">
        <v>11</v>
      </c>
      <c r="C6" s="91">
        <v>524</v>
      </c>
      <c r="D6" s="91">
        <v>1216</v>
      </c>
      <c r="F6" s="27" t="s">
        <v>105</v>
      </c>
      <c r="G6" s="28">
        <v>128</v>
      </c>
      <c r="H6" s="29">
        <v>5.09</v>
      </c>
      <c r="I6" s="42">
        <f>U3</f>
        <v>125.29628572973124</v>
      </c>
      <c r="J6" s="42" t="s">
        <v>265</v>
      </c>
      <c r="K6" s="95"/>
      <c r="L6" s="106">
        <f t="shared" si="0"/>
        <v>2.3862857297312381</v>
      </c>
      <c r="M6" s="105">
        <f t="shared" si="1"/>
        <v>46.881841448550851</v>
      </c>
      <c r="N6" t="s">
        <v>144</v>
      </c>
      <c r="S6" s="5" t="s">
        <v>38</v>
      </c>
      <c r="T6" s="5">
        <f>ATAN((Q2-Q11)/(1+Q2*Q11))</f>
        <v>1.4314028081533903</v>
      </c>
      <c r="U6" s="6">
        <f>DEGREES(T6) + ((ABS(T6)-T6)/(2*ABS(T6)))*180</f>
        <v>82.013339690363523</v>
      </c>
      <c r="V6" s="3" t="s">
        <v>29</v>
      </c>
      <c r="W6" s="3">
        <f>(SQRT(((W5-C14)*(W5-C14)+(X5-D14)*(X5-D14))))*ABS(W5-C14)/(-W5+C14)</f>
        <v>-21.163136905507994</v>
      </c>
      <c r="X6" s="7">
        <f>W6*C35*W16/W15</f>
        <v>-2.8651341334500819</v>
      </c>
    </row>
    <row r="7" spans="1:24" ht="18.75" x14ac:dyDescent="0.3">
      <c r="A7" s="90">
        <v>6</v>
      </c>
      <c r="B7" t="s">
        <v>43</v>
      </c>
      <c r="C7" s="91">
        <v>601</v>
      </c>
      <c r="D7" s="91">
        <v>1064</v>
      </c>
      <c r="F7" s="30" t="s">
        <v>17</v>
      </c>
      <c r="G7" s="31">
        <v>84</v>
      </c>
      <c r="H7" s="32">
        <v>3.58</v>
      </c>
      <c r="I7" s="114">
        <f>U4</f>
        <v>87.918950553327988</v>
      </c>
      <c r="J7" s="113" t="s">
        <v>280</v>
      </c>
      <c r="K7" s="94"/>
      <c r="L7" s="111">
        <f t="shared" si="0"/>
        <v>-0.3389505533279884</v>
      </c>
      <c r="M7" s="112">
        <f t="shared" si="1"/>
        <v>-9.4678925510611283</v>
      </c>
      <c r="N7" t="s">
        <v>144</v>
      </c>
      <c r="P7" s="1" t="s">
        <v>16</v>
      </c>
      <c r="Q7" s="1">
        <f>(D3-D20)/(C3-C20)</f>
        <v>-18.217391304347824</v>
      </c>
      <c r="R7" s="1">
        <f>D3-C3*Q7</f>
        <v>23198.65217391304</v>
      </c>
      <c r="S7" s="8" t="s">
        <v>47</v>
      </c>
      <c r="T7">
        <f>ABS(ATAN((Q2-Q12)/(1+Q2*Q12)))</f>
        <v>0.53342246973609087</v>
      </c>
      <c r="U7" s="6">
        <f t="shared" ref="U7:U11" si="2">DEGREES(T7)</f>
        <v>30.562856213322892</v>
      </c>
      <c r="V7" t="s">
        <v>30</v>
      </c>
      <c r="W7">
        <f>(C20+Q3*D20-Q3*R3)/(1+Q3*Q3)</f>
        <v>1228.1101419958627</v>
      </c>
      <c r="X7">
        <f>(Q3*C20+Q3*Q3*D20+R3)/(1+Q3*Q3)</f>
        <v>1135.5391912846649</v>
      </c>
    </row>
    <row r="8" spans="1:24" ht="18.75" x14ac:dyDescent="0.3">
      <c r="A8" s="90">
        <v>7</v>
      </c>
      <c r="B8" t="s">
        <v>57</v>
      </c>
      <c r="C8" s="91">
        <v>604</v>
      </c>
      <c r="D8" s="91">
        <v>1183</v>
      </c>
      <c r="F8" s="27" t="s">
        <v>13</v>
      </c>
      <c r="G8" s="28">
        <v>81</v>
      </c>
      <c r="H8" s="29">
        <v>3.59</v>
      </c>
      <c r="I8" s="42">
        <f>U5</f>
        <v>82.279121421410991</v>
      </c>
      <c r="J8" s="42" t="s">
        <v>237</v>
      </c>
      <c r="K8" s="89"/>
      <c r="L8" s="106">
        <f t="shared" si="0"/>
        <v>2.3108785785890085</v>
      </c>
      <c r="M8" s="105">
        <f t="shared" si="1"/>
        <v>64.36987684091946</v>
      </c>
      <c r="N8" t="s">
        <v>144</v>
      </c>
      <c r="P8" s="1" t="s">
        <v>15</v>
      </c>
      <c r="Q8" s="1">
        <f>(D3-D15)/(C3-C15)</f>
        <v>-6.4732142857142856</v>
      </c>
      <c r="R8" s="1">
        <f>D15-Q8*C15</f>
        <v>8847.2678571428569</v>
      </c>
      <c r="S8" s="8" t="s">
        <v>50</v>
      </c>
      <c r="T8">
        <f>ATAN((Q13-Q2)/(1+Q2*Q13))</f>
        <v>3.5693997406654403E-2</v>
      </c>
      <c r="U8" s="6">
        <f t="shared" si="2"/>
        <v>2.0451154053522029</v>
      </c>
      <c r="V8" t="s">
        <v>31</v>
      </c>
      <c r="W8">
        <f>(C15+Q3*D15-Q3*R3)/(1+Q3*Q3)</f>
        <v>1180.3478152256364</v>
      </c>
      <c r="X8">
        <f>(Q3*C15+Q3*Q3*D15+R3)/(1+Q3*Q3)</f>
        <v>1129.2325460245117</v>
      </c>
    </row>
    <row r="9" spans="1:24" ht="18.75" x14ac:dyDescent="0.3">
      <c r="A9" s="90">
        <v>8</v>
      </c>
      <c r="B9" t="s">
        <v>56</v>
      </c>
      <c r="C9" s="91">
        <v>597</v>
      </c>
      <c r="D9" s="91">
        <v>1391</v>
      </c>
      <c r="F9" s="30" t="s">
        <v>106</v>
      </c>
      <c r="G9" s="31">
        <v>3</v>
      </c>
      <c r="H9" s="32">
        <v>2.5</v>
      </c>
      <c r="I9" s="114">
        <f>I7-I8</f>
        <v>5.6398291319169971</v>
      </c>
      <c r="J9" s="113" t="s">
        <v>281</v>
      </c>
      <c r="K9" s="94"/>
      <c r="L9" s="111">
        <f t="shared" si="0"/>
        <v>-0.13982913191699708</v>
      </c>
      <c r="M9" s="112">
        <f t="shared" si="1"/>
        <v>-5.5931652766798834</v>
      </c>
      <c r="N9" t="s">
        <v>144</v>
      </c>
      <c r="P9" s="1" t="s">
        <v>18</v>
      </c>
      <c r="Q9">
        <f>(D3-X2)/(C3-W2)</f>
        <v>-7.5733333333333972</v>
      </c>
      <c r="R9">
        <f>X2-W2*Q9</f>
        <v>10191.613333333411</v>
      </c>
      <c r="S9" s="8" t="s">
        <v>51</v>
      </c>
      <c r="T9">
        <f>ABS(ATAN((Q12-Q13)/(1+Q12*Q13)))</f>
        <v>0.49772847232943646</v>
      </c>
      <c r="U9" s="6">
        <f t="shared" si="2"/>
        <v>28.517740807970686</v>
      </c>
      <c r="V9" s="3" t="s">
        <v>32</v>
      </c>
      <c r="W9" s="3">
        <f>(SQRT((W7-W8)*(W7-W8)+(X7-X8)*(X7-X8)))*(ABS(W7-W8))/(W7-W8)</f>
        <v>48.176899370375516</v>
      </c>
      <c r="X9" s="7">
        <f>W9*C35*W16/W15</f>
        <v>6.5223449362049735</v>
      </c>
    </row>
    <row r="10" spans="1:24" ht="18.75" x14ac:dyDescent="0.3">
      <c r="A10" s="90">
        <v>9</v>
      </c>
      <c r="B10" t="s">
        <v>59</v>
      </c>
      <c r="C10" s="91">
        <v>618</v>
      </c>
      <c r="D10" s="91">
        <v>1496</v>
      </c>
      <c r="F10" s="27" t="s">
        <v>107</v>
      </c>
      <c r="G10" s="28">
        <v>0.4</v>
      </c>
      <c r="H10" s="29">
        <v>2.2999999999999998</v>
      </c>
      <c r="I10" s="42">
        <f>X4</f>
        <v>4.3386992020019459</v>
      </c>
      <c r="J10" s="42" t="s">
        <v>236</v>
      </c>
      <c r="K10" s="89"/>
      <c r="L10" s="106">
        <f t="shared" si="0"/>
        <v>-1.6386992020019462</v>
      </c>
      <c r="M10" s="105">
        <f t="shared" si="1"/>
        <v>-71.247791391388972</v>
      </c>
      <c r="N10" t="s">
        <v>144</v>
      </c>
      <c r="P10" s="1" t="s">
        <v>33</v>
      </c>
      <c r="Q10">
        <f>(D25-D24)/(C25-C24)</f>
        <v>0.35135135135135137</v>
      </c>
      <c r="R10">
        <f>D24-Q24*C24</f>
        <v>1448</v>
      </c>
      <c r="S10" s="8" t="s">
        <v>52</v>
      </c>
      <c r="T10">
        <f>ABS(ATAN((Q3-Q10)/(1+Q3*Q10)))</f>
        <v>0.20659539805407062</v>
      </c>
      <c r="U10" s="6">
        <f t="shared" si="2"/>
        <v>11.837044375323508</v>
      </c>
      <c r="V10" t="s">
        <v>34</v>
      </c>
      <c r="W10">
        <f>(C20+Q10*D20-Q10*R10)/(1+Q10*Q10)</f>
        <v>1038.4778933680107</v>
      </c>
      <c r="X10">
        <f>(Q10*C20+Q10*Q10*D20+R10)/(1+Q10*Q10)</f>
        <v>1812.8706111833551</v>
      </c>
    </row>
    <row r="11" spans="1:24" ht="18.75" x14ac:dyDescent="0.3">
      <c r="A11" s="90">
        <v>10</v>
      </c>
      <c r="B11" t="s">
        <v>245</v>
      </c>
      <c r="C11" s="91">
        <v>650</v>
      </c>
      <c r="D11" s="91">
        <v>1524</v>
      </c>
      <c r="F11" s="30" t="s">
        <v>142</v>
      </c>
      <c r="G11" s="31">
        <v>-1.8</v>
      </c>
      <c r="H11" s="32">
        <v>4.5</v>
      </c>
      <c r="I11" s="114">
        <f>X6</f>
        <v>-2.8651341334500819</v>
      </c>
      <c r="J11" s="113" t="s">
        <v>282</v>
      </c>
      <c r="K11" s="94"/>
      <c r="L11" s="113">
        <f>(H11-ABS(G11-I11 ))*C36</f>
        <v>3.2101550154672132</v>
      </c>
      <c r="M11" s="112">
        <f t="shared" si="1"/>
        <v>76.330352589998185</v>
      </c>
      <c r="N11" t="s">
        <v>144</v>
      </c>
      <c r="P11" s="1" t="s">
        <v>37</v>
      </c>
      <c r="Q11" s="1">
        <f>(D14-D3)/(C14-C3)</f>
        <v>-6.28</v>
      </c>
      <c r="R11" s="1">
        <f>D3-Q11*C3</f>
        <v>8611.16</v>
      </c>
      <c r="S11" s="8" t="s">
        <v>55</v>
      </c>
      <c r="T11">
        <f>ABS(ATAN((Q2-Q14)/(1+Q2*Q14)))</f>
        <v>1.1565378240740702</v>
      </c>
      <c r="U11" s="6">
        <f t="shared" si="2"/>
        <v>66.264736166687925</v>
      </c>
      <c r="V11" t="s">
        <v>35</v>
      </c>
      <c r="W11">
        <f>(C15+Q10*D15-Q10*R10)/(1+Q10*Q10)</f>
        <v>1054.9570871261378</v>
      </c>
      <c r="X11">
        <f>(Q10*C15+Q10*Q10*D15+R10)/(1+Q10*Q10)</f>
        <v>1818.6605981794539</v>
      </c>
    </row>
    <row r="12" spans="1:24" ht="18.75" x14ac:dyDescent="0.3">
      <c r="A12" s="90">
        <v>11</v>
      </c>
      <c r="B12" t="s">
        <v>246</v>
      </c>
      <c r="C12" s="91">
        <v>1043</v>
      </c>
      <c r="D12" s="91">
        <v>1766</v>
      </c>
      <c r="F12" s="27" t="s">
        <v>108</v>
      </c>
      <c r="G12" s="28">
        <v>3</v>
      </c>
      <c r="H12" s="29">
        <v>3.72</v>
      </c>
      <c r="I12" s="127">
        <f>X9</f>
        <v>6.5223449362049735</v>
      </c>
      <c r="J12" s="127" t="s">
        <v>307</v>
      </c>
      <c r="K12" s="134"/>
      <c r="L12" s="129">
        <f>(H12-ABS(G12-I12 ))*C36</f>
        <v>0.18472435868694087</v>
      </c>
      <c r="M12" s="120">
        <f t="shared" si="1"/>
        <v>5.313308166532976</v>
      </c>
      <c r="N12" t="s">
        <v>144</v>
      </c>
      <c r="P12" s="1" t="s">
        <v>53</v>
      </c>
      <c r="Q12">
        <f>(D12-D11)/(C12-C11)</f>
        <v>0.61577608142493634</v>
      </c>
      <c r="R12">
        <f>D12-C12*Q12</f>
        <v>1123.7455470737914</v>
      </c>
      <c r="S12" s="8" t="s">
        <v>58</v>
      </c>
      <c r="T12">
        <f>ABS(ATAN((Q15-Q12)/(1+Q15*Q12)))</f>
        <v>1.0524986045318689</v>
      </c>
      <c r="U12" s="6">
        <f>180-DEGREES(T12)</f>
        <v>119.6962720169152</v>
      </c>
      <c r="V12" s="3" t="s">
        <v>36</v>
      </c>
      <c r="W12" s="3">
        <f>(SQRT((W10-W11)*(W10-W11)+(X10-X11)*(X10-X11)))*(ABS(W10-W11))/(W10-W11)</f>
        <v>-17.46676204489232</v>
      </c>
      <c r="X12" s="7">
        <f>W12*C35*W16/W15</f>
        <v>-2.3647069127378062</v>
      </c>
    </row>
    <row r="13" spans="1:24" ht="18.75" x14ac:dyDescent="0.3">
      <c r="A13" s="90">
        <v>12</v>
      </c>
      <c r="B13" t="s">
        <v>247</v>
      </c>
      <c r="C13" s="91">
        <v>1079</v>
      </c>
      <c r="D13" s="91">
        <v>1749</v>
      </c>
      <c r="F13" s="30" t="s">
        <v>109</v>
      </c>
      <c r="G13" s="31">
        <v>-2</v>
      </c>
      <c r="H13" s="32">
        <v>3.49</v>
      </c>
      <c r="I13" s="86">
        <f>X12</f>
        <v>-2.3647069127378062</v>
      </c>
      <c r="J13" s="87" t="s">
        <v>283</v>
      </c>
      <c r="K13" s="96"/>
      <c r="L13" s="87">
        <f>(H13-ABS(G13-I13 ))*C36</f>
        <v>2.9208346609927047</v>
      </c>
      <c r="M13" s="105">
        <f t="shared" si="1"/>
        <v>89.549945193759143</v>
      </c>
      <c r="N13" t="s">
        <v>144</v>
      </c>
      <c r="P13" s="1" t="s">
        <v>49</v>
      </c>
      <c r="Q13">
        <f>(D22-D21)/(C22-C21)</f>
        <v>5.4263565891472867E-2</v>
      </c>
      <c r="R13">
        <f>D21-C21*Q13</f>
        <v>1249.1240310077519</v>
      </c>
      <c r="S13" s="8" t="s">
        <v>68</v>
      </c>
      <c r="T13">
        <f>ATAN((Q7-Q16)/(1+Q16*Q7))</f>
        <v>0.55418428848937185</v>
      </c>
      <c r="U13" s="6">
        <f>DEGREES(T13)</f>
        <v>31.752420802901455</v>
      </c>
      <c r="V13" t="s">
        <v>39</v>
      </c>
      <c r="W13">
        <f>(C14+Q8*D14-Q8*R8)/(1+Q8*Q8)</f>
        <v>1100.6440690563745</v>
      </c>
      <c r="X13">
        <f>(Q8*C14+Q8*Q8*D14+R8)/(1+Q8*Q8)</f>
        <v>1722.5629458404333</v>
      </c>
    </row>
    <row r="14" spans="1:24" ht="18.75" x14ac:dyDescent="0.3">
      <c r="A14" s="90">
        <v>13</v>
      </c>
      <c r="B14" t="s">
        <v>248</v>
      </c>
      <c r="C14" s="91">
        <v>1097</v>
      </c>
      <c r="D14" s="91">
        <v>1722</v>
      </c>
      <c r="F14" s="27" t="s">
        <v>38</v>
      </c>
      <c r="G14" s="28">
        <v>82</v>
      </c>
      <c r="H14" s="29">
        <v>3.09</v>
      </c>
      <c r="I14" s="42">
        <f>U6</f>
        <v>82.013339690363523</v>
      </c>
      <c r="J14" s="42" t="s">
        <v>266</v>
      </c>
      <c r="K14" s="89"/>
      <c r="L14" s="106">
        <f>(H14-ABS(G14-I14 ))</f>
        <v>3.0766603096364769</v>
      </c>
      <c r="M14" s="105">
        <f t="shared" si="1"/>
        <v>99.56829481024198</v>
      </c>
      <c r="N14" t="s">
        <v>144</v>
      </c>
      <c r="P14" s="1" t="s">
        <v>54</v>
      </c>
      <c r="Q14">
        <f>(D13-D2)/(C13-C2)</f>
        <v>2.3935860058309038</v>
      </c>
      <c r="R14">
        <f>D13-C13*Q14</f>
        <v>-833.67930029154513</v>
      </c>
      <c r="S14" s="8" t="s">
        <v>69</v>
      </c>
      <c r="T14">
        <f>ATAN((Q16-Q2)/(1+Q16*Q2))</f>
        <v>1.0529332030467575</v>
      </c>
      <c r="U14" s="6">
        <f>ABS(DEGREES(T14) + (-(ABS(T14)+T14)/(2*ABS(T14)))*180)</f>
        <v>119.67137135622944</v>
      </c>
      <c r="V14" s="3" t="s">
        <v>40</v>
      </c>
      <c r="W14" s="3">
        <f>(SQRT((C14-W13)*(C14-W13)+(D14-X13)*(D14-X13)))*(ABS(C14-W13))/(C14-W13)</f>
        <v>-3.6872953918675115</v>
      </c>
      <c r="X14" s="7">
        <f>W14*C35*W16/W15</f>
        <v>-0.49919801277679315</v>
      </c>
    </row>
    <row r="15" spans="1:24" ht="18.75" x14ac:dyDescent="0.3">
      <c r="A15" s="90">
        <v>14</v>
      </c>
      <c r="B15" t="s">
        <v>249</v>
      </c>
      <c r="C15" s="91">
        <v>1110</v>
      </c>
      <c r="D15" s="91">
        <v>1662</v>
      </c>
      <c r="F15" s="30" t="s">
        <v>110</v>
      </c>
      <c r="G15" s="31">
        <v>1</v>
      </c>
      <c r="H15" s="32">
        <v>1.54</v>
      </c>
      <c r="I15" s="122">
        <f>X14</f>
        <v>-0.49919801277679315</v>
      </c>
      <c r="J15" s="121" t="s">
        <v>284</v>
      </c>
      <c r="K15" s="96"/>
      <c r="L15" s="121">
        <f>(H15-ABS(G15-I15 ))*C36</f>
        <v>3.8132698339445631E-2</v>
      </c>
      <c r="M15" s="120">
        <f t="shared" si="1"/>
        <v>2.6494796898186248</v>
      </c>
      <c r="N15" t="s">
        <v>144</v>
      </c>
      <c r="P15" s="1" t="s">
        <v>56</v>
      </c>
      <c r="Q15">
        <f>(D9-D8)/(C9-C8)</f>
        <v>-29.714285714285715</v>
      </c>
      <c r="R15">
        <f>D9-C9*Q15</f>
        <v>19130.428571428572</v>
      </c>
      <c r="S15" s="8" t="s">
        <v>70</v>
      </c>
      <c r="T15">
        <f>ABS(ATAN((Q17-Q8)/(1+Q17*Q8)))</f>
        <v>0.68897625631919901</v>
      </c>
      <c r="U15" s="6">
        <f>DEGREES(T15)</f>
        <v>39.475431671813716</v>
      </c>
      <c r="V15" t="s">
        <v>41</v>
      </c>
      <c r="W15">
        <f>(SQRT((C32-C33)*(C32-C33)+(D32-D33)*(D32-D33)))</f>
        <v>245.00816312931289</v>
      </c>
    </row>
    <row r="16" spans="1:24" ht="18.75" x14ac:dyDescent="0.3">
      <c r="A16" s="90">
        <v>15</v>
      </c>
      <c r="B16" t="s">
        <v>250</v>
      </c>
      <c r="C16" s="91">
        <v>1081</v>
      </c>
      <c r="D16" s="91">
        <v>1627</v>
      </c>
      <c r="F16" s="27" t="s">
        <v>111</v>
      </c>
      <c r="G16" s="28">
        <v>93</v>
      </c>
      <c r="H16" s="29">
        <v>4.95</v>
      </c>
      <c r="I16" s="42">
        <f>X17</f>
        <v>90.09528587275824</v>
      </c>
      <c r="J16" s="42" t="s">
        <v>238</v>
      </c>
      <c r="K16" s="89"/>
      <c r="L16" s="106">
        <f>(H16-ABS(G16-I16 ))*C36</f>
        <v>1.9114821240731212</v>
      </c>
      <c r="M16" s="105">
        <f t="shared" si="1"/>
        <v>41.318906520368479</v>
      </c>
      <c r="N16" t="s">
        <v>264</v>
      </c>
      <c r="P16" s="1" t="s">
        <v>66</v>
      </c>
      <c r="Q16">
        <f>(D19-D18)/(C19-C18)</f>
        <v>1.8333333333333333</v>
      </c>
      <c r="R16">
        <f>D18-C18*Q16</f>
        <v>-754.33333333333303</v>
      </c>
      <c r="S16" s="8" t="s">
        <v>71</v>
      </c>
      <c r="T16">
        <f>ATAN((Q17-Q12)/(1+Q17*Q12))</f>
        <v>-1.2804877878687104</v>
      </c>
      <c r="U16" s="6">
        <f>DEGREES(T16) + ((ABS(T16)-T16)/(2*ABS(T16)))*180</f>
        <v>106.63345403707984</v>
      </c>
      <c r="V16" s="3" t="s">
        <v>42</v>
      </c>
      <c r="W16">
        <f>C34</f>
        <v>31</v>
      </c>
    </row>
    <row r="17" spans="1:24" ht="18.75" x14ac:dyDescent="0.3">
      <c r="A17" s="90">
        <v>16</v>
      </c>
      <c r="B17" t="s">
        <v>251</v>
      </c>
      <c r="C17" s="91">
        <v>1211</v>
      </c>
      <c r="D17" s="91">
        <v>1511</v>
      </c>
      <c r="F17" s="30" t="s">
        <v>112</v>
      </c>
      <c r="G17" s="31">
        <v>121</v>
      </c>
      <c r="H17" s="32">
        <v>6.69</v>
      </c>
      <c r="I17" s="114">
        <f>X18</f>
        <v>113.08423898890425</v>
      </c>
      <c r="J17" s="113" t="s">
        <v>285</v>
      </c>
      <c r="K17" s="94"/>
      <c r="L17" s="113">
        <f>(H17-ABS(G17-I17 ))*C36</f>
        <v>-1.1455710384072459</v>
      </c>
      <c r="M17" s="112">
        <f t="shared" si="1"/>
        <v>-18.322287161371495</v>
      </c>
      <c r="N17" t="s">
        <v>144</v>
      </c>
      <c r="P17" s="1" t="s">
        <v>67</v>
      </c>
      <c r="Q17">
        <f>(D17-D16)/(C17-C16)</f>
        <v>-0.89230769230769236</v>
      </c>
      <c r="R17">
        <f>D16-C16*Q17</f>
        <v>2591.5846153846155</v>
      </c>
      <c r="S17" s="8" t="s">
        <v>72</v>
      </c>
      <c r="T17">
        <f>ABS(ATAN((Q16-Q17)/(1+Q16*Q17)))</f>
        <v>1.3415941324104161</v>
      </c>
      <c r="U17" s="6">
        <f>180-DEGREES(T17)</f>
        <v>103.13231839336783</v>
      </c>
      <c r="V17" s="3" t="s">
        <v>44</v>
      </c>
      <c r="W17">
        <f>(SQRT((C20-C7)*(C20-C7)+(D20-D7)*(D20-D7)))</f>
        <v>665.48328303571986</v>
      </c>
      <c r="X17" s="7">
        <f>W17*C35*W16/W15</f>
        <v>90.09528587275824</v>
      </c>
    </row>
    <row r="18" spans="1:24" ht="19.5" thickBot="1" x14ac:dyDescent="0.35">
      <c r="A18" s="90">
        <v>17</v>
      </c>
      <c r="B18" t="s">
        <v>252</v>
      </c>
      <c r="C18" s="91">
        <v>1240</v>
      </c>
      <c r="D18" s="91">
        <v>1519</v>
      </c>
      <c r="E18" s="91"/>
      <c r="F18" s="33" t="s">
        <v>113</v>
      </c>
      <c r="G18" s="34">
        <v>28</v>
      </c>
      <c r="H18" s="35">
        <v>4.1399999999999997</v>
      </c>
      <c r="I18" s="118">
        <f>I17-I16</f>
        <v>22.988953116146007</v>
      </c>
      <c r="J18" s="117" t="s">
        <v>286</v>
      </c>
      <c r="K18" s="89"/>
      <c r="L18" s="115">
        <f>(H18-ABS(G18-I18 ))*C36</f>
        <v>-0.81406250827476012</v>
      </c>
      <c r="M18" s="112">
        <f t="shared" si="1"/>
        <v>-21.039779803236556</v>
      </c>
      <c r="N18" t="s">
        <v>144</v>
      </c>
      <c r="P18" s="1" t="s">
        <v>89</v>
      </c>
      <c r="Q18">
        <f>(D27-D28)/(C27-C28)</f>
        <v>-0.43181818181818182</v>
      </c>
      <c r="R18">
        <f>D28-C28*Q18</f>
        <v>1890.068181818182</v>
      </c>
      <c r="S18" s="8" t="s">
        <v>91</v>
      </c>
      <c r="T18">
        <f>ATAN((Q18-Q19)/(1+Q18*Q19))</f>
        <v>-1.5412057885115356</v>
      </c>
      <c r="U18" s="6">
        <f>ABS(DEGREES(T18) + (-(ABS(T18)+T18)/(2*ABS(T18)))*180)</f>
        <v>88.304587042843124</v>
      </c>
      <c r="V18" s="3" t="s">
        <v>45</v>
      </c>
      <c r="W18">
        <f>(SQRT((C7-C13)*(C7-C13)+(D7-D13)*(D7-D13)))</f>
        <v>835.28977007982087</v>
      </c>
      <c r="X18" s="7">
        <f>W18*C35*W16/W15</f>
        <v>113.08423898890425</v>
      </c>
    </row>
    <row r="19" spans="1:24" ht="19.5" thickBot="1" x14ac:dyDescent="0.35">
      <c r="A19" s="90">
        <v>18</v>
      </c>
      <c r="B19" t="s">
        <v>253</v>
      </c>
      <c r="C19" s="91">
        <v>1162</v>
      </c>
      <c r="D19" s="91">
        <v>1376</v>
      </c>
      <c r="F19" s="36" t="s">
        <v>114</v>
      </c>
      <c r="G19" s="37"/>
      <c r="H19" s="37"/>
      <c r="I19" s="88"/>
      <c r="J19" s="102"/>
      <c r="K19" s="97"/>
      <c r="L19" s="107"/>
      <c r="M19" s="105"/>
      <c r="P19" s="1" t="s">
        <v>90</v>
      </c>
      <c r="Q19">
        <f>(D29-D28)/(C29-C28)</f>
        <v>2.13953488372093</v>
      </c>
      <c r="R19">
        <f>D28-C28*Q19</f>
        <v>-1444.9767441860463</v>
      </c>
      <c r="S19" s="8" t="s">
        <v>92</v>
      </c>
      <c r="T19">
        <f>ABS(ATAN((Q8-Q20)/(1+Q8*Q20)))</f>
        <v>0.30520185653282028</v>
      </c>
      <c r="U19" s="6">
        <f>DEGREES(T19)</f>
        <v>17.486778278887854</v>
      </c>
      <c r="V19" s="3" t="s">
        <v>46</v>
      </c>
      <c r="W19">
        <f>W18-W17</f>
        <v>169.806487044101</v>
      </c>
      <c r="X19" s="7">
        <f>X18-X17</f>
        <v>22.988953116146007</v>
      </c>
    </row>
    <row r="20" spans="1:24" ht="19.5" thickBot="1" x14ac:dyDescent="0.35">
      <c r="A20" s="90">
        <v>19</v>
      </c>
      <c r="B20" t="s">
        <v>254</v>
      </c>
      <c r="C20" s="91">
        <v>1199</v>
      </c>
      <c r="D20" s="91">
        <v>1356</v>
      </c>
      <c r="E20" s="91"/>
      <c r="F20" s="24" t="s">
        <v>115</v>
      </c>
      <c r="G20" s="25">
        <v>30</v>
      </c>
      <c r="H20" s="25">
        <v>5.61</v>
      </c>
      <c r="I20" s="85">
        <f t="shared" ref="I20:I25" si="3">U7</f>
        <v>30.562856213322892</v>
      </c>
      <c r="J20" s="103" t="s">
        <v>239</v>
      </c>
      <c r="K20" s="93"/>
      <c r="L20" s="103">
        <f>(H20-ABS(G20-I20 ))</f>
        <v>5.0471437866771085</v>
      </c>
      <c r="M20" s="105">
        <f t="shared" ref="M20:M27" si="4">(H20-ABS(G20-I20 ))*(100/H20)</f>
        <v>89.966912418486771</v>
      </c>
      <c r="N20" t="s">
        <v>144</v>
      </c>
      <c r="P20" s="1" t="s">
        <v>93</v>
      </c>
      <c r="Q20">
        <f>(D31-D29)/(C31-C29)</f>
        <v>-2.0261437908496731</v>
      </c>
      <c r="R20">
        <f>D31-C31*Q20</f>
        <v>4137.0326797385624</v>
      </c>
      <c r="T20" s="100"/>
      <c r="U20" s="6"/>
      <c r="V20" s="9" t="s">
        <v>60</v>
      </c>
      <c r="W20">
        <f>(SQRT((C2-C10)*(C2-C10)+(D2-D10)*(D2-D10)))</f>
        <v>580.12757217701699</v>
      </c>
    </row>
    <row r="21" spans="1:24" ht="19.5" thickBot="1" x14ac:dyDescent="0.35">
      <c r="A21" s="90">
        <v>20</v>
      </c>
      <c r="B21" t="s">
        <v>48</v>
      </c>
      <c r="C21" s="91">
        <v>1214</v>
      </c>
      <c r="D21" s="91">
        <v>1315</v>
      </c>
      <c r="F21" s="27" t="s">
        <v>116</v>
      </c>
      <c r="G21" s="28">
        <v>9</v>
      </c>
      <c r="H21" s="28">
        <v>3.03</v>
      </c>
      <c r="I21" s="117">
        <f t="shared" si="3"/>
        <v>2.0451154053522029</v>
      </c>
      <c r="J21" s="117" t="s">
        <v>287</v>
      </c>
      <c r="K21" s="95"/>
      <c r="L21" s="119">
        <f t="shared" ref="L21:L27" si="5">(H21-ABS(G21-I21 ))</f>
        <v>-3.9248845946477977</v>
      </c>
      <c r="M21" s="112">
        <f t="shared" si="4"/>
        <v>-129.53414503788113</v>
      </c>
      <c r="N21" t="s">
        <v>144</v>
      </c>
      <c r="P21" s="1" t="s">
        <v>94</v>
      </c>
      <c r="Q21">
        <f>(D31-D26)/(C31-C26)</f>
        <v>-2.4845360824742269</v>
      </c>
      <c r="R21">
        <f>D31-C31*Q21</f>
        <v>4681.1443298969079</v>
      </c>
      <c r="V21" t="s">
        <v>61</v>
      </c>
      <c r="W21">
        <f>(SQRT((C12-C3)*(C12-C3)+(D12-D3)*(D12-D3)))</f>
        <v>848.10494633624205</v>
      </c>
    </row>
    <row r="22" spans="1:24" ht="18.75" x14ac:dyDescent="0.3">
      <c r="A22" s="90">
        <v>21</v>
      </c>
      <c r="B22" t="s">
        <v>255</v>
      </c>
      <c r="C22" s="91">
        <v>827</v>
      </c>
      <c r="D22" s="91">
        <v>1294</v>
      </c>
      <c r="F22" s="30" t="s">
        <v>117</v>
      </c>
      <c r="G22" s="31">
        <v>21</v>
      </c>
      <c r="H22" s="31">
        <v>5.25</v>
      </c>
      <c r="I22" s="114">
        <f t="shared" si="3"/>
        <v>28.517740807970686</v>
      </c>
      <c r="J22" s="113" t="s">
        <v>288</v>
      </c>
      <c r="K22" s="123"/>
      <c r="L22" s="113">
        <f t="shared" si="5"/>
        <v>-2.2677408079706858</v>
      </c>
      <c r="M22" s="112">
        <f t="shared" si="4"/>
        <v>-43.195063008965441</v>
      </c>
      <c r="N22" t="s">
        <v>144</v>
      </c>
      <c r="V22" s="3" t="s">
        <v>62</v>
      </c>
      <c r="W22">
        <f>100*W20/W21</f>
        <v>68.402804945676849</v>
      </c>
      <c r="X22" s="7">
        <f>100*W20/W21</f>
        <v>68.402804945676849</v>
      </c>
    </row>
    <row r="23" spans="1:24" ht="18.75" x14ac:dyDescent="0.3">
      <c r="A23" s="90">
        <v>22</v>
      </c>
      <c r="B23" t="s">
        <v>256</v>
      </c>
      <c r="C23" s="91">
        <v>1006</v>
      </c>
      <c r="D23" s="91">
        <v>1480</v>
      </c>
      <c r="F23" s="27" t="s">
        <v>118</v>
      </c>
      <c r="G23" s="28">
        <v>9</v>
      </c>
      <c r="H23" s="28">
        <v>4.38</v>
      </c>
      <c r="I23" s="117">
        <f t="shared" si="3"/>
        <v>11.837044375323508</v>
      </c>
      <c r="J23" s="117" t="s">
        <v>308</v>
      </c>
      <c r="K23" s="101"/>
      <c r="L23" s="116">
        <f t="shared" si="5"/>
        <v>1.5429556246764919</v>
      </c>
      <c r="M23" s="112">
        <f t="shared" si="4"/>
        <v>35.227297367043192</v>
      </c>
      <c r="N23" t="s">
        <v>144</v>
      </c>
      <c r="V23" t="s">
        <v>63</v>
      </c>
      <c r="W23">
        <f>(SQRT((C21-C3)*(C21-C3)+(D21-D3)*(D21-D3)))</f>
        <v>378.08464660707926</v>
      </c>
    </row>
    <row r="24" spans="1:24" ht="18.75" x14ac:dyDescent="0.3">
      <c r="A24" s="90">
        <v>23</v>
      </c>
      <c r="B24" t="s">
        <v>257</v>
      </c>
      <c r="C24" s="91">
        <v>926</v>
      </c>
      <c r="D24" s="91">
        <v>1448</v>
      </c>
      <c r="F24" s="30" t="s">
        <v>119</v>
      </c>
      <c r="G24" s="31">
        <v>68</v>
      </c>
      <c r="H24" s="31">
        <v>3.29</v>
      </c>
      <c r="I24" s="86">
        <f t="shared" si="3"/>
        <v>66.264736166687925</v>
      </c>
      <c r="J24" s="87" t="s">
        <v>240</v>
      </c>
      <c r="K24" s="94"/>
      <c r="L24" s="87">
        <f t="shared" si="5"/>
        <v>1.5547361666879249</v>
      </c>
      <c r="M24" s="105">
        <f t="shared" si="4"/>
        <v>47.256418440362459</v>
      </c>
      <c r="N24" t="s">
        <v>144</v>
      </c>
      <c r="V24" s="9" t="s">
        <v>64</v>
      </c>
      <c r="W24">
        <f>(SQRT((C21-C12)*(C21-C12)+(D21-D12)*(D21-D12)))</f>
        <v>482.32976271426583</v>
      </c>
    </row>
    <row r="25" spans="1:24" ht="18.75" x14ac:dyDescent="0.3">
      <c r="A25" s="90">
        <v>24</v>
      </c>
      <c r="B25" t="s">
        <v>258</v>
      </c>
      <c r="C25" s="91">
        <v>1074</v>
      </c>
      <c r="D25" s="91">
        <v>1500</v>
      </c>
      <c r="F25" s="27" t="s">
        <v>120</v>
      </c>
      <c r="G25" s="28">
        <v>118</v>
      </c>
      <c r="H25" s="28">
        <v>6.13</v>
      </c>
      <c r="I25" s="42">
        <f t="shared" si="3"/>
        <v>119.6962720169152</v>
      </c>
      <c r="J25" s="42" t="s">
        <v>267</v>
      </c>
      <c r="K25" s="89"/>
      <c r="L25" s="106">
        <f t="shared" si="5"/>
        <v>4.4337279830847978</v>
      </c>
      <c r="M25" s="105">
        <f t="shared" si="4"/>
        <v>72.328352089474677</v>
      </c>
      <c r="N25" t="s">
        <v>144</v>
      </c>
      <c r="V25" s="3" t="s">
        <v>65</v>
      </c>
      <c r="X25" s="7">
        <f>100*W23/W24</f>
        <v>78.387169076907696</v>
      </c>
    </row>
    <row r="26" spans="1:24" ht="18.75" x14ac:dyDescent="0.3">
      <c r="A26" s="90">
        <v>25</v>
      </c>
      <c r="B26" t="s">
        <v>261</v>
      </c>
      <c r="C26" s="91">
        <v>1381</v>
      </c>
      <c r="D26" s="91">
        <v>1250</v>
      </c>
      <c r="F26" s="30" t="s">
        <v>121</v>
      </c>
      <c r="G26" s="31">
        <v>65</v>
      </c>
      <c r="H26" s="31">
        <v>2.88</v>
      </c>
      <c r="I26" s="113">
        <f>X22</f>
        <v>68.402804945676849</v>
      </c>
      <c r="J26" s="113" t="s">
        <v>289</v>
      </c>
      <c r="K26" s="123"/>
      <c r="L26" s="113">
        <f t="shared" si="5"/>
        <v>-0.52280494567684865</v>
      </c>
      <c r="M26" s="112">
        <f t="shared" si="4"/>
        <v>-18.152949502668356</v>
      </c>
      <c r="N26" t="s">
        <v>144</v>
      </c>
      <c r="V26" t="s">
        <v>73</v>
      </c>
      <c r="W26">
        <f>(C18+Q7*D18-Q7*R7)/(1+Q7*Q7)</f>
        <v>1190.202555511386</v>
      </c>
      <c r="X26">
        <f>(Q7*C18+Q7*Q7*D18+R7)/(1+Q7*Q7)</f>
        <v>1516.2664887273552</v>
      </c>
    </row>
    <row r="27" spans="1:24" ht="19.5" thickBot="1" x14ac:dyDescent="0.35">
      <c r="A27" s="90">
        <v>26</v>
      </c>
      <c r="B27" t="s">
        <v>86</v>
      </c>
      <c r="C27" s="91">
        <v>1341</v>
      </c>
      <c r="D27" s="91">
        <v>1311</v>
      </c>
      <c r="F27" s="33" t="s">
        <v>122</v>
      </c>
      <c r="G27" s="34">
        <v>81</v>
      </c>
      <c r="H27" s="34">
        <v>6.54</v>
      </c>
      <c r="I27" s="104">
        <f>X25</f>
        <v>78.387169076907696</v>
      </c>
      <c r="J27" s="104" t="s">
        <v>268</v>
      </c>
      <c r="K27" s="98"/>
      <c r="L27" s="108">
        <f t="shared" si="5"/>
        <v>3.9271690769076963</v>
      </c>
      <c r="M27" s="105">
        <f t="shared" si="4"/>
        <v>60.048456833451013</v>
      </c>
      <c r="N27" t="s">
        <v>144</v>
      </c>
      <c r="V27" s="3" t="s">
        <v>74</v>
      </c>
      <c r="W27">
        <f>(SQRT(((W26-C18)*(W26-C18)+(X26-D18)*(X26-D18))))*ABS(W26-C18)/(-W26+C18)</f>
        <v>49.872412829882926</v>
      </c>
      <c r="X27" s="7">
        <f>W27*C35*W16/W15</f>
        <v>6.7518890490767474</v>
      </c>
    </row>
    <row r="28" spans="1:24" ht="19.5" thickBot="1" x14ac:dyDescent="0.35">
      <c r="A28" s="90">
        <v>27</v>
      </c>
      <c r="B28" t="s">
        <v>262</v>
      </c>
      <c r="C28" s="91">
        <v>1297</v>
      </c>
      <c r="D28" s="91">
        <v>1330</v>
      </c>
      <c r="F28" s="38" t="s">
        <v>103</v>
      </c>
      <c r="G28" s="37"/>
      <c r="H28" s="37"/>
      <c r="I28" s="88"/>
      <c r="J28" s="102"/>
      <c r="K28" s="97"/>
      <c r="L28" s="107"/>
      <c r="M28" s="105"/>
      <c r="V28" t="s">
        <v>75</v>
      </c>
      <c r="W28">
        <f>(C17+Q8*D17-Q8*R8)/(1+Q8*Q8)</f>
        <v>1135.137352764652</v>
      </c>
      <c r="X28">
        <f>(Q8*C17+Q8*Q8*D17+R8)/(1+Q8*Q8)</f>
        <v>1499.2805289788153</v>
      </c>
    </row>
    <row r="29" spans="1:24" ht="18.75" x14ac:dyDescent="0.3">
      <c r="A29" s="90">
        <v>28</v>
      </c>
      <c r="B29" t="s">
        <v>87</v>
      </c>
      <c r="C29" s="91">
        <v>1340</v>
      </c>
      <c r="D29" s="91">
        <v>1422</v>
      </c>
      <c r="F29" s="24" t="s">
        <v>123</v>
      </c>
      <c r="G29" s="25">
        <v>22</v>
      </c>
      <c r="H29" s="25">
        <v>5.94</v>
      </c>
      <c r="I29" s="110">
        <f>U13</f>
        <v>31.752420802901455</v>
      </c>
      <c r="J29" s="109" t="s">
        <v>290</v>
      </c>
      <c r="K29" s="123"/>
      <c r="L29" s="111">
        <f>(H29-ABS(G29-I29 ))</f>
        <v>-3.8124208029014541</v>
      </c>
      <c r="M29" s="112">
        <f t="shared" ref="M29:M35" si="6">(H29-ABS(G29-I29 ))*(100/H29)</f>
        <v>-64.182168399014373</v>
      </c>
      <c r="N29" t="s">
        <v>144</v>
      </c>
      <c r="V29" s="3" t="s">
        <v>143</v>
      </c>
      <c r="W29">
        <f>(SQRT(((W28-C17)*(W28-C17)+(X28-D17)*(X28-D17))))*ABS(W28-C17)/(-W28+C17)</f>
        <v>76.76253804149033</v>
      </c>
      <c r="X29" s="7">
        <f>W29*C35*W16/W15</f>
        <v>10.392361439371177</v>
      </c>
    </row>
    <row r="30" spans="1:24" ht="18.75" x14ac:dyDescent="0.3">
      <c r="A30" s="90">
        <v>29</v>
      </c>
      <c r="B30" t="s">
        <v>263</v>
      </c>
      <c r="C30" s="91">
        <v>1283</v>
      </c>
      <c r="D30" s="91">
        <v>1608</v>
      </c>
      <c r="F30" s="27" t="s">
        <v>124</v>
      </c>
      <c r="G30" s="28">
        <v>5</v>
      </c>
      <c r="H30" s="28">
        <v>2.13</v>
      </c>
      <c r="I30" s="127">
        <f>X27</f>
        <v>6.7518890490767474</v>
      </c>
      <c r="J30" s="127" t="s">
        <v>291</v>
      </c>
      <c r="K30" s="128"/>
      <c r="L30" s="129">
        <f>(H30-ABS(G30-I30 ))*C36</f>
        <v>0.35337472048902108</v>
      </c>
      <c r="M30" s="120">
        <f t="shared" si="6"/>
        <v>17.751687836772419</v>
      </c>
      <c r="N30" t="s">
        <v>144</v>
      </c>
      <c r="V30" t="s">
        <v>76</v>
      </c>
      <c r="W30">
        <f>(C18+Q10*D18-Q10*R10)/(1+Q10*Q10)</f>
        <v>1125.9499349804942</v>
      </c>
      <c r="X30">
        <f>(Q10*C18+Q10*Q10*D18+R10)/(1+Q10*Q10)</f>
        <v>1843.6040312093628</v>
      </c>
    </row>
    <row r="31" spans="1:24" ht="18.75" x14ac:dyDescent="0.3">
      <c r="A31" s="90">
        <v>30</v>
      </c>
      <c r="B31" t="s">
        <v>88</v>
      </c>
      <c r="C31" s="91">
        <v>1187</v>
      </c>
      <c r="D31" s="91">
        <v>1732</v>
      </c>
      <c r="F31" s="30" t="s">
        <v>125</v>
      </c>
      <c r="G31" s="31">
        <v>108</v>
      </c>
      <c r="H31" s="31">
        <v>6.13</v>
      </c>
      <c r="I31" s="114">
        <f>U14</f>
        <v>119.67137135622944</v>
      </c>
      <c r="J31" s="113" t="s">
        <v>292</v>
      </c>
      <c r="K31" s="123"/>
      <c r="L31" s="111">
        <f>(H31-ABS(G31-I31 ))</f>
        <v>-5.5413713562294431</v>
      </c>
      <c r="M31" s="112">
        <f t="shared" si="6"/>
        <v>-90.397575142405273</v>
      </c>
      <c r="N31" t="s">
        <v>144</v>
      </c>
      <c r="V31" s="9" t="s">
        <v>77</v>
      </c>
      <c r="W31">
        <f>(C17+Q10*D17-Q10*R10)/(1+Q10*Q10)</f>
        <v>1097.634590377113</v>
      </c>
      <c r="X31">
        <f>(Q10*C17+Q10*Q10*D17+R10)/(1+Q10*Q10)</f>
        <v>1833.6553966189861</v>
      </c>
    </row>
    <row r="32" spans="1:24" ht="18.75" x14ac:dyDescent="0.3">
      <c r="A32" s="90">
        <v>31</v>
      </c>
      <c r="B32" t="s">
        <v>259</v>
      </c>
      <c r="C32" s="91">
        <v>1371</v>
      </c>
      <c r="D32" s="91">
        <v>909</v>
      </c>
      <c r="F32" s="27" t="s">
        <v>126</v>
      </c>
      <c r="G32" s="28">
        <v>30</v>
      </c>
      <c r="H32" s="28">
        <v>5.61</v>
      </c>
      <c r="I32" s="117">
        <f>U15</f>
        <v>39.475431671813716</v>
      </c>
      <c r="J32" s="117" t="s">
        <v>293</v>
      </c>
      <c r="K32" s="124"/>
      <c r="L32" s="116">
        <f>(H32-ABS(G32-I32 ))</f>
        <v>-3.8654316718137158</v>
      </c>
      <c r="M32" s="112">
        <f t="shared" si="6"/>
        <v>-68.902525344273002</v>
      </c>
      <c r="N32" t="s">
        <v>144</v>
      </c>
      <c r="V32" s="3" t="s">
        <v>78</v>
      </c>
      <c r="W32" s="3">
        <f>(SQRT(((W30-W31)*(W30-W31)+(X30-X31)*(X30-X31))))*ABS(W31-W30)/(-W31+W30)</f>
        <v>30.012232009983322</v>
      </c>
      <c r="X32" s="7">
        <f>W32*C35*W16/W15</f>
        <v>4.0631533376531976</v>
      </c>
    </row>
    <row r="33" spans="1:24" ht="18.75" x14ac:dyDescent="0.3">
      <c r="A33" s="90">
        <v>32</v>
      </c>
      <c r="B33" t="s">
        <v>260</v>
      </c>
      <c r="C33" s="91">
        <v>1369</v>
      </c>
      <c r="D33" s="91">
        <v>664</v>
      </c>
      <c r="F33" s="30" t="s">
        <v>127</v>
      </c>
      <c r="G33" s="31">
        <v>7</v>
      </c>
      <c r="H33" s="31">
        <v>2.2200000000000002</v>
      </c>
      <c r="I33" s="114">
        <f>X29</f>
        <v>10.392361439371177</v>
      </c>
      <c r="J33" s="113" t="s">
        <v>294</v>
      </c>
      <c r="K33" s="123"/>
      <c r="L33" s="113">
        <f>(H33-ABS(G33-I33 ))*C36</f>
        <v>-1.0956648966085765</v>
      </c>
      <c r="M33" s="112">
        <f t="shared" si="6"/>
        <v>-52.809073845548504</v>
      </c>
      <c r="N33" t="s">
        <v>144</v>
      </c>
      <c r="V33" s="9" t="s">
        <v>80</v>
      </c>
      <c r="W33">
        <f>(SQRT(((W30-C18)*(W30-C18)+(X30-D18)*(X30-D18))))*ABS(X30-D18)/(-X30+D18)</f>
        <v>-344.05696390034382</v>
      </c>
    </row>
    <row r="34" spans="1:24" ht="18.75" x14ac:dyDescent="0.3">
      <c r="A34" s="90">
        <v>33</v>
      </c>
      <c r="B34" t="s">
        <v>242</v>
      </c>
      <c r="C34" s="91">
        <v>31</v>
      </c>
      <c r="D34" s="91"/>
      <c r="F34" s="27" t="s">
        <v>128</v>
      </c>
      <c r="G34" s="28">
        <v>97</v>
      </c>
      <c r="H34" s="28">
        <v>5.97</v>
      </c>
      <c r="I34" s="117">
        <f>U16</f>
        <v>106.63345403707984</v>
      </c>
      <c r="J34" s="117" t="s">
        <v>295</v>
      </c>
      <c r="K34" s="124"/>
      <c r="L34" s="116">
        <f>(H34-ABS(G34-I34 ))</f>
        <v>-3.6634540370798439</v>
      </c>
      <c r="M34" s="112">
        <f t="shared" si="6"/>
        <v>-61.364389230818162</v>
      </c>
      <c r="N34" t="s">
        <v>144</v>
      </c>
      <c r="V34" t="s">
        <v>81</v>
      </c>
      <c r="W34">
        <f>(SQRT(((W31-C17)*(W31-C17)+(X31-D17)*(X31-D17))))*ABS(X31-D17)/(X31-D17)</f>
        <v>341.99155116218901</v>
      </c>
    </row>
    <row r="35" spans="1:24" x14ac:dyDescent="0.25">
      <c r="B35" t="s">
        <v>97</v>
      </c>
      <c r="C35">
        <v>1.07</v>
      </c>
      <c r="F35" s="30" t="s">
        <v>129</v>
      </c>
      <c r="G35" s="31">
        <v>125</v>
      </c>
      <c r="H35" s="31">
        <v>8.0299999999999994</v>
      </c>
      <c r="I35" s="114">
        <f>U17</f>
        <v>103.13231839336783</v>
      </c>
      <c r="J35" s="113" t="s">
        <v>296</v>
      </c>
      <c r="K35" s="125"/>
      <c r="L35" s="113">
        <f>(H35-ABS(G35-I35 ))</f>
        <v>-13.837681606632176</v>
      </c>
      <c r="M35" s="112">
        <f t="shared" si="6"/>
        <v>-172.32480207512052</v>
      </c>
      <c r="N35" t="s">
        <v>144</v>
      </c>
      <c r="V35" s="3" t="s">
        <v>79</v>
      </c>
      <c r="W35">
        <f>W33+W34</f>
        <v>-2.0654127381548051</v>
      </c>
      <c r="X35" s="7">
        <f>W35*C35*W16/W15</f>
        <v>-0.27962227727259897</v>
      </c>
    </row>
    <row r="36" spans="1:24" ht="15.75" thickBot="1" x14ac:dyDescent="0.3">
      <c r="B36" t="s">
        <v>241</v>
      </c>
      <c r="C36">
        <f>1/C35</f>
        <v>0.93457943925233644</v>
      </c>
      <c r="F36" s="33" t="s">
        <v>130</v>
      </c>
      <c r="G36" s="34">
        <v>3</v>
      </c>
      <c r="H36" s="34">
        <v>0</v>
      </c>
      <c r="I36" s="118">
        <f>X32</f>
        <v>4.0631533376531976</v>
      </c>
      <c r="J36" s="118" t="s">
        <v>297</v>
      </c>
      <c r="K36" s="126"/>
      <c r="L36" s="115">
        <f>(H36-ABS(G36-I36 ))*C36</f>
        <v>-0.99360125014317535</v>
      </c>
      <c r="M36" s="112"/>
      <c r="V36" t="s">
        <v>83</v>
      </c>
      <c r="W36">
        <f>(C18+Q13*D18-Q13*R13)/(1+Q13*Q13)</f>
        <v>1250.9609346914319</v>
      </c>
      <c r="X36">
        <f>(Q13*C18+Q13*Q13*D18+R13)/(1+Q13*Q13)</f>
        <v>1317.0056321150391</v>
      </c>
    </row>
    <row r="37" spans="1:24" ht="16.5" thickBot="1" x14ac:dyDescent="0.3">
      <c r="F37" s="38" t="s">
        <v>114</v>
      </c>
      <c r="G37" s="37"/>
      <c r="H37" s="37"/>
      <c r="I37" s="88"/>
      <c r="J37" s="102"/>
      <c r="K37" s="97"/>
      <c r="L37" s="107"/>
      <c r="M37" s="105"/>
      <c r="V37" s="3" t="s">
        <v>82</v>
      </c>
      <c r="W37">
        <f>SQRT(((W36-C18)*(W36-C18)+(X36-D18)*(X36-D18)))</f>
        <v>202.2915389890411</v>
      </c>
      <c r="X37" s="7">
        <f>W37*C35*W16/W15</f>
        <v>27.386884839118675</v>
      </c>
    </row>
    <row r="38" spans="1:24" x14ac:dyDescent="0.25">
      <c r="F38" s="24" t="s">
        <v>131</v>
      </c>
      <c r="G38" s="25">
        <v>2</v>
      </c>
      <c r="H38" s="25">
        <v>1.06</v>
      </c>
      <c r="I38" s="110">
        <f>X35</f>
        <v>-0.27962227727259897</v>
      </c>
      <c r="J38" s="109" t="s">
        <v>298</v>
      </c>
      <c r="K38" s="131">
        <v>3</v>
      </c>
      <c r="L38" s="109">
        <f>(H38-ABS(G38-I38 ))*C36</f>
        <v>-1.1398339039930832</v>
      </c>
      <c r="M38" s="112">
        <f>(H38-ABS(G38-I38 ))*(100/H38)</f>
        <v>-115.05870540307536</v>
      </c>
      <c r="N38" t="s">
        <v>144</v>
      </c>
      <c r="V38" t="s">
        <v>84</v>
      </c>
      <c r="W38">
        <f>(C23+Q13*D23-Q13*R13)/(1+Q13*Q13)</f>
        <v>1015.5378669862193</v>
      </c>
      <c r="X38" s="99">
        <f>(Q13*C23+Q13*Q13*D23+R13)/(1+Q13*Q13)</f>
        <v>1304.2307369682446</v>
      </c>
    </row>
    <row r="39" spans="1:24" x14ac:dyDescent="0.25">
      <c r="F39" s="27" t="s">
        <v>132</v>
      </c>
      <c r="G39" s="28">
        <v>28</v>
      </c>
      <c r="H39" s="28">
        <v>2.64</v>
      </c>
      <c r="I39" s="42">
        <f>X37</f>
        <v>27.386884839118675</v>
      </c>
      <c r="J39" s="42" t="s">
        <v>133</v>
      </c>
      <c r="K39" s="95">
        <v>26</v>
      </c>
      <c r="L39" s="106">
        <f>(H39-ABS(G39-I39 ))*C36</f>
        <v>1.8942848963725938</v>
      </c>
      <c r="M39" s="105">
        <f>(H39-ABS(G39-I39 ))*(100/H39)</f>
        <v>76.775940875707391</v>
      </c>
      <c r="N39" t="s">
        <v>144</v>
      </c>
      <c r="V39" s="3" t="s">
        <v>85</v>
      </c>
      <c r="W39">
        <f>SQRT(((W38-C23)*(W38-C23)+(X38-D23)*(X38-D23)))</f>
        <v>176.02785215236031</v>
      </c>
      <c r="X39" s="7">
        <f>W39*C35*W16/W15</f>
        <v>23.831221708364499</v>
      </c>
    </row>
    <row r="40" spans="1:24" x14ac:dyDescent="0.25">
      <c r="F40" s="30" t="s">
        <v>134</v>
      </c>
      <c r="G40" s="31">
        <v>22</v>
      </c>
      <c r="H40" s="31">
        <v>2.13</v>
      </c>
      <c r="I40" s="122">
        <f>X39</f>
        <v>23.831221708364499</v>
      </c>
      <c r="J40" s="121" t="s">
        <v>305</v>
      </c>
      <c r="K40" s="130">
        <v>24.3</v>
      </c>
      <c r="L40" s="121">
        <f>(H40-ABS(G40-I40 ))*C36</f>
        <v>0.27923204825747766</v>
      </c>
      <c r="M40" s="120">
        <f t="shared" ref="M40:M43" si="7">(H40-ABS(G40-I40 ))*(100/H40)</f>
        <v>14.027149842042304</v>
      </c>
      <c r="N40" t="s">
        <v>144</v>
      </c>
      <c r="V40" t="s">
        <v>95</v>
      </c>
      <c r="W40">
        <f>(C30+Q21*D30-Q21*R21)/(1+Q21*Q21)</f>
        <v>1243.3344495480817</v>
      </c>
      <c r="X40">
        <f>(Q21*C30+Q21*Q21*D30+R21)/(1+Q21*Q21)</f>
        <v>1592.0350274114683</v>
      </c>
    </row>
    <row r="41" spans="1:24" x14ac:dyDescent="0.25">
      <c r="F41" s="27" t="s">
        <v>135</v>
      </c>
      <c r="G41" s="28">
        <v>91</v>
      </c>
      <c r="H41" s="28">
        <v>7.98</v>
      </c>
      <c r="I41" s="42">
        <f>U18</f>
        <v>88.304587042843124</v>
      </c>
      <c r="J41" s="42" t="s">
        <v>136</v>
      </c>
      <c r="K41" s="89">
        <v>89.3</v>
      </c>
      <c r="L41" s="106">
        <f>(H41-ABS(G41-I41 ))</f>
        <v>5.2845870428431247</v>
      </c>
      <c r="M41" s="105">
        <f t="shared" si="7"/>
        <v>66.222895273723367</v>
      </c>
      <c r="N41" t="s">
        <v>144</v>
      </c>
      <c r="V41" s="3" t="s">
        <v>96</v>
      </c>
      <c r="W41">
        <f>(SQRT(((W40-C30)*(W40-C30)+(X40-D30)*(X40-D30))))*ABS(W40-C30)/(-W40+C30)</f>
        <v>42.757879302021593</v>
      </c>
      <c r="X41" s="7">
        <f>W41*C35*W16/W15</f>
        <v>5.7887004185223931</v>
      </c>
    </row>
    <row r="42" spans="1:24" x14ac:dyDescent="0.25">
      <c r="F42" s="30" t="s">
        <v>137</v>
      </c>
      <c r="G42" s="31">
        <v>14</v>
      </c>
      <c r="H42" s="31">
        <v>3.83</v>
      </c>
      <c r="I42" s="122">
        <f>U19</f>
        <v>17.486778278887854</v>
      </c>
      <c r="J42" s="121" t="s">
        <v>299</v>
      </c>
      <c r="K42" s="94">
        <v>6.3</v>
      </c>
      <c r="L42" s="121">
        <f>(H42-ABS(G42-I42 ))</f>
        <v>0.34322172111214577</v>
      </c>
      <c r="M42" s="120">
        <f t="shared" si="7"/>
        <v>8.961402640003806</v>
      </c>
      <c r="N42" t="s">
        <v>144</v>
      </c>
    </row>
    <row r="43" spans="1:24" ht="15.75" thickBot="1" x14ac:dyDescent="0.3">
      <c r="F43" s="39" t="s">
        <v>138</v>
      </c>
      <c r="G43" s="40">
        <v>2</v>
      </c>
      <c r="H43" s="40">
        <v>2.0299999999999998</v>
      </c>
      <c r="I43" s="118">
        <f>X41</f>
        <v>5.7887004185223931</v>
      </c>
      <c r="J43" s="132" t="s">
        <v>300</v>
      </c>
      <c r="K43" s="101">
        <v>-2.4</v>
      </c>
      <c r="L43" s="115">
        <f>(H43-ABS(G43-I43 ))*C36</f>
        <v>-1.6436452509555077</v>
      </c>
      <c r="M43" s="112">
        <f t="shared" si="7"/>
        <v>-86.635488597162237</v>
      </c>
      <c r="N43" t="s">
        <v>144</v>
      </c>
    </row>
    <row r="44" spans="1:24" ht="15.75" thickTop="1" x14ac:dyDescent="0.25"/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Q21" sqref="Q21"/>
    </sheetView>
  </sheetViews>
  <sheetFormatPr defaultRowHeight="15" x14ac:dyDescent="0.25"/>
  <cols>
    <col min="5" max="5" width="18.85546875" customWidth="1"/>
    <col min="6" max="7" width="11.140625" customWidth="1"/>
    <col min="8" max="8" width="18.140625" customWidth="1"/>
    <col min="12" max="12" width="3.42578125" customWidth="1"/>
    <col min="18" max="18" width="15.42578125" customWidth="1"/>
  </cols>
  <sheetData>
    <row r="1" spans="1:22" ht="16.5" thickBot="1" x14ac:dyDescent="0.3">
      <c r="A1" t="s">
        <v>0</v>
      </c>
      <c r="J1" s="43" t="s">
        <v>145</v>
      </c>
      <c r="K1" s="43"/>
      <c r="L1" s="43"/>
      <c r="M1" s="44" t="s">
        <v>146</v>
      </c>
      <c r="N1" s="44"/>
      <c r="O1" s="44"/>
      <c r="P1" s="45" t="s">
        <v>42</v>
      </c>
      <c r="Q1" s="45" t="s">
        <v>147</v>
      </c>
      <c r="R1" s="45" t="s">
        <v>148</v>
      </c>
      <c r="S1" s="45" t="s">
        <v>149</v>
      </c>
      <c r="T1" s="45" t="s">
        <v>150</v>
      </c>
    </row>
    <row r="2" spans="1:22" ht="15.75" thickBot="1" x14ac:dyDescent="0.3">
      <c r="A2" t="s">
        <v>151</v>
      </c>
      <c r="E2" s="46" t="s">
        <v>152</v>
      </c>
      <c r="F2" s="47" t="s">
        <v>153</v>
      </c>
      <c r="G2" s="47" t="s">
        <v>154</v>
      </c>
      <c r="H2" s="47" t="s">
        <v>155</v>
      </c>
      <c r="I2" s="48" t="s">
        <v>156</v>
      </c>
      <c r="J2" s="43" t="s">
        <v>157</v>
      </c>
      <c r="K2" s="43" t="e">
        <f>(C3-C2)/(B3-B2)</f>
        <v>#DIV/0!</v>
      </c>
      <c r="L2" s="43" t="e">
        <f>C2-B2*K2</f>
        <v>#DIV/0!</v>
      </c>
      <c r="M2" s="44" t="s">
        <v>158</v>
      </c>
      <c r="N2" s="44" t="e">
        <f>(B4+K2*C4-K2*L2)/(1+K2*K2)</f>
        <v>#DIV/0!</v>
      </c>
      <c r="O2" s="44" t="e">
        <f>(K2*B4+K2*K2*C4+L2)/(1+K2*K2)</f>
        <v>#DIV/0!</v>
      </c>
      <c r="P2" t="s">
        <v>158</v>
      </c>
      <c r="Q2" t="e">
        <f>SQRT(((N2-B4)*(N2-B4)+(O2-C4)*(O2-C4)))</f>
        <v>#DIV/0!</v>
      </c>
      <c r="R2" s="49" t="e">
        <f>Q2*B21/Q21</f>
        <v>#DIV/0!</v>
      </c>
      <c r="U2" t="e">
        <f>ABS(ATAN((K2-K3)/(1+K2*K3)))</f>
        <v>#DIV/0!</v>
      </c>
      <c r="V2" t="e">
        <f>DEGREES(U2)</f>
        <v>#DIV/0!</v>
      </c>
    </row>
    <row r="3" spans="1:22" x14ac:dyDescent="0.25">
      <c r="A3" t="s">
        <v>159</v>
      </c>
      <c r="E3" s="50" t="s">
        <v>160</v>
      </c>
      <c r="F3" s="51" t="e">
        <f>R4</f>
        <v>#DIV/0!</v>
      </c>
      <c r="G3" s="51" t="e">
        <f>R5</f>
        <v>#DIV/0!</v>
      </c>
      <c r="H3" s="51" t="e">
        <f>S5</f>
        <v>#DIV/0!</v>
      </c>
      <c r="I3" s="52" t="e">
        <f>V3</f>
        <v>#DIV/0!</v>
      </c>
      <c r="J3" t="s">
        <v>161</v>
      </c>
      <c r="K3">
        <f>-L10</f>
        <v>0</v>
      </c>
      <c r="M3" s="44" t="s">
        <v>162</v>
      </c>
      <c r="N3" s="44" t="e">
        <f>(B5+K2*C5-K2*L2)/(1+K2*K2)</f>
        <v>#DIV/0!</v>
      </c>
      <c r="O3" s="44" t="e">
        <f>(K2*B5+K2*K2*C5+L2)/(1+K2*K2)</f>
        <v>#DIV/0!</v>
      </c>
      <c r="P3" s="3" t="s">
        <v>162</v>
      </c>
      <c r="Q3" s="3" t="e">
        <f t="shared" ref="Q3:Q10" si="0">SQRT(((N3-B5)*(N3-B5)+(O3-C5)*(O3-C5)))</f>
        <v>#DIV/0!</v>
      </c>
      <c r="R3" s="7" t="e">
        <f>Q3*B21/Q21</f>
        <v>#DIV/0!</v>
      </c>
      <c r="S3" s="7" t="e">
        <f>R3-R2</f>
        <v>#DIV/0!</v>
      </c>
      <c r="T3" t="s">
        <v>163</v>
      </c>
      <c r="U3" t="e">
        <f>ABS(ATAN((K2-K4)/(1+K2*K4)))</f>
        <v>#DIV/0!</v>
      </c>
      <c r="V3" t="e">
        <f>90-DEGREES(U3)</f>
        <v>#DIV/0!</v>
      </c>
    </row>
    <row r="4" spans="1:22" x14ac:dyDescent="0.25">
      <c r="A4" t="s">
        <v>158</v>
      </c>
      <c r="E4" s="53" t="s">
        <v>164</v>
      </c>
      <c r="F4" s="51" t="e">
        <f>R2</f>
        <v>#DIV/0!</v>
      </c>
      <c r="G4" s="51" t="e">
        <f>R3</f>
        <v>#DIV/0!</v>
      </c>
      <c r="H4" s="51" t="e">
        <f>S3</f>
        <v>#DIV/0!</v>
      </c>
      <c r="I4" s="52" t="e">
        <f>V5</f>
        <v>#DIV/0!</v>
      </c>
      <c r="J4" t="s">
        <v>163</v>
      </c>
      <c r="K4" t="e">
        <f>(C7-C6)/(B7-B6)</f>
        <v>#DIV/0!</v>
      </c>
      <c r="M4" s="44" t="s">
        <v>165</v>
      </c>
      <c r="N4" s="44" t="e">
        <f>(B6+K2*C6-K2*L2)/(1+K2*K2)</f>
        <v>#DIV/0!</v>
      </c>
      <c r="O4" s="44" t="e">
        <f>(K2*B6+K2*K2*C6+L2)/(1+K2*K2)</f>
        <v>#DIV/0!</v>
      </c>
      <c r="P4" t="s">
        <v>165</v>
      </c>
      <c r="Q4" t="e">
        <f t="shared" si="0"/>
        <v>#DIV/0!</v>
      </c>
      <c r="R4" s="49" t="e">
        <f>Q4*B21/Q21</f>
        <v>#DIV/0!</v>
      </c>
      <c r="S4" s="49"/>
      <c r="T4" t="s">
        <v>166</v>
      </c>
      <c r="U4" t="e">
        <f>ABS(ATAN((K2-K5)/(1+K2*K5)))</f>
        <v>#DIV/0!</v>
      </c>
      <c r="V4" t="e">
        <f t="shared" ref="V4:V8" si="1">90-DEGREES(U4)</f>
        <v>#DIV/0!</v>
      </c>
    </row>
    <row r="5" spans="1:22" x14ac:dyDescent="0.25">
      <c r="A5" t="s">
        <v>162</v>
      </c>
      <c r="E5" s="53" t="s">
        <v>167</v>
      </c>
      <c r="F5" s="51" t="e">
        <f>R6</f>
        <v>#DIV/0!</v>
      </c>
      <c r="G5" s="51" t="e">
        <f>R7</f>
        <v>#DIV/0!</v>
      </c>
      <c r="H5" s="51" t="e">
        <f>S7</f>
        <v>#DIV/0!</v>
      </c>
      <c r="I5" s="52" t="e">
        <f>V4</f>
        <v>#DIV/0!</v>
      </c>
      <c r="J5" t="s">
        <v>166</v>
      </c>
      <c r="K5" t="e">
        <f>(C9-C8)/(B9-B8)</f>
        <v>#DIV/0!</v>
      </c>
      <c r="M5" s="44" t="s">
        <v>168</v>
      </c>
      <c r="N5" s="44" t="e">
        <f>(B7+K2*C7-K2*L2)/(1+K2*K2)</f>
        <v>#DIV/0!</v>
      </c>
      <c r="O5" s="44" t="e">
        <f>(K2*B7+K2*K2*C7+L2)/(1+K2*K2)</f>
        <v>#DIV/0!</v>
      </c>
      <c r="P5" s="3" t="s">
        <v>168</v>
      </c>
      <c r="Q5" s="3" t="e">
        <f t="shared" si="0"/>
        <v>#DIV/0!</v>
      </c>
      <c r="R5" s="7" t="e">
        <f>Q5*B21/Q21</f>
        <v>#DIV/0!</v>
      </c>
      <c r="S5" s="7" t="e">
        <f>R5-R4</f>
        <v>#DIV/0!</v>
      </c>
      <c r="T5" t="s">
        <v>169</v>
      </c>
      <c r="U5" t="e">
        <f>ABS(ATAN((K2-K6)/(1+K2*K6)))</f>
        <v>#DIV/0!</v>
      </c>
      <c r="V5" t="e">
        <f t="shared" si="1"/>
        <v>#DIV/0!</v>
      </c>
    </row>
    <row r="6" spans="1:22" x14ac:dyDescent="0.25">
      <c r="A6" t="s">
        <v>165</v>
      </c>
      <c r="E6" s="53" t="s">
        <v>170</v>
      </c>
      <c r="F6" s="51" t="e">
        <f>R8</f>
        <v>#DIV/0!</v>
      </c>
      <c r="G6" s="51" t="e">
        <f>R9</f>
        <v>#DIV/0!</v>
      </c>
      <c r="H6" s="51" t="e">
        <f>S9</f>
        <v>#DIV/0!</v>
      </c>
      <c r="I6" s="52" t="e">
        <f>V6</f>
        <v>#DIV/0!</v>
      </c>
      <c r="J6" t="s">
        <v>169</v>
      </c>
      <c r="K6" t="e">
        <f>(C5-C4)/(B5-B4)</f>
        <v>#DIV/0!</v>
      </c>
      <c r="M6" s="44" t="s">
        <v>171</v>
      </c>
      <c r="N6" s="44" t="e">
        <f>(B8+K2*C8-K2*L2)/(1+K2*K2)</f>
        <v>#DIV/0!</v>
      </c>
      <c r="O6" s="44" t="e">
        <f>(K2*B8+K2*K2*C8+L2)/(1+K2*K2)</f>
        <v>#DIV/0!</v>
      </c>
      <c r="P6" t="s">
        <v>171</v>
      </c>
      <c r="Q6" t="e">
        <f t="shared" si="0"/>
        <v>#DIV/0!</v>
      </c>
      <c r="R6" s="49" t="e">
        <f>Q6*B21/Q21</f>
        <v>#DIV/0!</v>
      </c>
      <c r="S6" s="49"/>
      <c r="T6" t="s">
        <v>172</v>
      </c>
      <c r="U6" t="e">
        <f>ABS(ATAN((K2-K7)/(1+K2*K7)))</f>
        <v>#DIV/0!</v>
      </c>
      <c r="V6" t="e">
        <f t="shared" si="1"/>
        <v>#DIV/0!</v>
      </c>
    </row>
    <row r="7" spans="1:22" x14ac:dyDescent="0.25">
      <c r="A7" t="s">
        <v>168</v>
      </c>
      <c r="E7" s="53" t="s">
        <v>173</v>
      </c>
      <c r="F7" s="51" t="e">
        <f>R10</f>
        <v>#DIV/0!</v>
      </c>
      <c r="G7" s="51" t="e">
        <f>R11</f>
        <v>#DIV/0!</v>
      </c>
      <c r="H7" s="51" t="e">
        <f>S11</f>
        <v>#DIV/0!</v>
      </c>
      <c r="I7" s="52" t="e">
        <f>V7</f>
        <v>#DIV/0!</v>
      </c>
      <c r="J7" t="s">
        <v>172</v>
      </c>
      <c r="K7" t="e">
        <f>(C11-C10)/(B11-B10)</f>
        <v>#DIV/0!</v>
      </c>
      <c r="M7" s="44" t="s">
        <v>174</v>
      </c>
      <c r="N7" s="44" t="e">
        <f>(B9+K2*C9-K2*L2)/(1+K2*K2)</f>
        <v>#DIV/0!</v>
      </c>
      <c r="O7" s="44" t="e">
        <f>(K2*B9+K2*K2*C9+L2)/(1+K2*K2)</f>
        <v>#DIV/0!</v>
      </c>
      <c r="P7" s="3" t="s">
        <v>174</v>
      </c>
      <c r="Q7" s="3" t="e">
        <f t="shared" si="0"/>
        <v>#DIV/0!</v>
      </c>
      <c r="R7" s="7" t="e">
        <f>Q7*B21/Q21</f>
        <v>#DIV/0!</v>
      </c>
      <c r="S7" s="7" t="e">
        <f>R7-R6</f>
        <v>#DIV/0!</v>
      </c>
      <c r="T7" t="s">
        <v>175</v>
      </c>
      <c r="U7" t="e">
        <f>ABS(ATAN((K2-K8)/(1+K2*K8)))</f>
        <v>#DIV/0!</v>
      </c>
      <c r="V7" t="e">
        <f t="shared" si="1"/>
        <v>#DIV/0!</v>
      </c>
    </row>
    <row r="8" spans="1:22" ht="15.75" thickBot="1" x14ac:dyDescent="0.3">
      <c r="A8" t="s">
        <v>171</v>
      </c>
      <c r="E8" s="54" t="s">
        <v>176</v>
      </c>
      <c r="F8" s="51"/>
      <c r="G8" s="51"/>
      <c r="H8" s="51" t="e">
        <f>R17</f>
        <v>#DIV/0!</v>
      </c>
      <c r="I8" s="52"/>
      <c r="J8" t="s">
        <v>175</v>
      </c>
      <c r="K8" t="e">
        <f>(C13-C12)/(B13-B12)</f>
        <v>#DIV/0!</v>
      </c>
      <c r="M8" s="44" t="s">
        <v>177</v>
      </c>
      <c r="N8" s="44" t="e">
        <f>(B10+K2*C10-K2*L2)/(1+K2*K2)</f>
        <v>#DIV/0!</v>
      </c>
      <c r="O8" s="44" t="e">
        <f>(K2*B10+K2*K2*C10+L2)/(1+K2*K2)</f>
        <v>#DIV/0!</v>
      </c>
      <c r="P8" t="s">
        <v>177</v>
      </c>
      <c r="Q8" t="e">
        <f t="shared" si="0"/>
        <v>#DIV/0!</v>
      </c>
      <c r="R8" s="49" t="e">
        <f>Q8*B21/Q21</f>
        <v>#DIV/0!</v>
      </c>
      <c r="S8" s="49"/>
      <c r="T8" t="s">
        <v>178</v>
      </c>
      <c r="U8" t="e">
        <f>ABS(ATAN((K2-K9)/(1+K2*K9)))</f>
        <v>#DIV/0!</v>
      </c>
      <c r="V8" t="e">
        <f t="shared" si="1"/>
        <v>#DIV/0!</v>
      </c>
    </row>
    <row r="9" spans="1:22" x14ac:dyDescent="0.25">
      <c r="A9" t="s">
        <v>174</v>
      </c>
      <c r="E9" s="50" t="s">
        <v>179</v>
      </c>
      <c r="F9" s="51"/>
      <c r="G9" s="51"/>
      <c r="H9" s="51" t="e">
        <f>R12</f>
        <v>#DIV/0!</v>
      </c>
      <c r="I9" s="52"/>
      <c r="J9" t="s">
        <v>178</v>
      </c>
      <c r="K9" t="e">
        <f>(C18-C17)/(B18-B17)</f>
        <v>#DIV/0!</v>
      </c>
      <c r="M9" s="44" t="s">
        <v>180</v>
      </c>
      <c r="N9" s="44" t="e">
        <f>(B11+K2*C11-K2*L2)/(1+K2*K2)</f>
        <v>#DIV/0!</v>
      </c>
      <c r="O9" s="44" t="e">
        <f>(K2*B11+K2*K2*C11+L2)/(1+K2*K2)</f>
        <v>#DIV/0!</v>
      </c>
      <c r="P9" s="3" t="s">
        <v>180</v>
      </c>
      <c r="Q9" s="3" t="e">
        <f t="shared" si="0"/>
        <v>#DIV/0!</v>
      </c>
      <c r="R9" s="7" t="e">
        <f>Q9*B21/Q21</f>
        <v>#DIV/0!</v>
      </c>
      <c r="S9" s="7" t="e">
        <f>R9-R8</f>
        <v>#DIV/0!</v>
      </c>
    </row>
    <row r="10" spans="1:22" x14ac:dyDescent="0.25">
      <c r="A10" t="s">
        <v>177</v>
      </c>
      <c r="E10" s="53" t="s">
        <v>181</v>
      </c>
      <c r="F10" s="51"/>
      <c r="G10" s="51"/>
      <c r="H10" s="51" t="e">
        <f>R14</f>
        <v>#DIV/0!</v>
      </c>
      <c r="I10" s="52"/>
      <c r="M10" s="44" t="s">
        <v>182</v>
      </c>
      <c r="N10" s="44" t="e">
        <f>(B12+K2*C12-K2*L2)/(1+K2*K2)</f>
        <v>#DIV/0!</v>
      </c>
      <c r="O10" s="44" t="e">
        <f>(K2*B12+K2*K2*C12+L2)/(1+K2*K2)</f>
        <v>#DIV/0!</v>
      </c>
      <c r="P10" t="s">
        <v>182</v>
      </c>
      <c r="Q10" t="e">
        <f t="shared" si="0"/>
        <v>#DIV/0!</v>
      </c>
      <c r="R10" s="49" t="e">
        <f>Q10*B21/Q21</f>
        <v>#DIV/0!</v>
      </c>
      <c r="S10" s="49"/>
    </row>
    <row r="11" spans="1:22" x14ac:dyDescent="0.25">
      <c r="A11" t="s">
        <v>180</v>
      </c>
      <c r="E11" s="53" t="s">
        <v>183</v>
      </c>
      <c r="F11" s="51"/>
      <c r="G11" s="51"/>
      <c r="H11" s="51" t="e">
        <f>R15</f>
        <v>#DIV/0!</v>
      </c>
      <c r="I11" s="52"/>
      <c r="M11" s="44" t="s">
        <v>184</v>
      </c>
      <c r="N11" s="44" t="e">
        <f>(B13+K2*C13-K2*L2)/(1+K2*K2)</f>
        <v>#DIV/0!</v>
      </c>
      <c r="O11" s="44" t="e">
        <f>(K2*B13+K2*K2*C13+L2)/(1+K2*K2)</f>
        <v>#DIV/0!</v>
      </c>
      <c r="P11" s="3" t="s">
        <v>184</v>
      </c>
      <c r="Q11" s="3" t="e">
        <f>SQRT(((N11-B13)*(N11-B13)+(O11-C13)*(O11-C13)))</f>
        <v>#DIV/0!</v>
      </c>
      <c r="R11" s="7" t="e">
        <f>Q11*B21/Q21</f>
        <v>#DIV/0!</v>
      </c>
      <c r="S11" s="7" t="e">
        <f>R11-R10</f>
        <v>#DIV/0!</v>
      </c>
    </row>
    <row r="12" spans="1:22" ht="15.75" thickBot="1" x14ac:dyDescent="0.3">
      <c r="A12" t="s">
        <v>182</v>
      </c>
      <c r="E12" s="54" t="s">
        <v>185</v>
      </c>
      <c r="F12" s="51"/>
      <c r="G12" s="51"/>
      <c r="H12" s="51" t="e">
        <f>R16</f>
        <v>#DIV/0!</v>
      </c>
      <c r="I12" s="52"/>
      <c r="M12" s="44" t="s">
        <v>186</v>
      </c>
      <c r="N12" s="44" t="e">
        <f>(B14+K2*C14-K2*L2)/(1+K2*K2)</f>
        <v>#DIV/0!</v>
      </c>
      <c r="O12" s="44" t="e">
        <f>(K2*B14+K2*K2*C14+L2)/(1+K2*K2)</f>
        <v>#DIV/0!</v>
      </c>
      <c r="P12" t="s">
        <v>187</v>
      </c>
      <c r="Q12" t="e">
        <f>SQRT(((N2-N3)*(N2-N3)+(O3-O2)*(O3-O2)))*ABS(O2-O3)/(-O2+O3)</f>
        <v>#DIV/0!</v>
      </c>
      <c r="R12" s="49" t="e">
        <f>Q12*B21/Q21</f>
        <v>#DIV/0!</v>
      </c>
    </row>
    <row r="13" spans="1:22" x14ac:dyDescent="0.25">
      <c r="A13" t="s">
        <v>184</v>
      </c>
      <c r="E13" s="50" t="s">
        <v>188</v>
      </c>
      <c r="F13" s="51"/>
      <c r="G13" s="51"/>
      <c r="H13" s="51" t="e">
        <f>R18</f>
        <v>#DIV/0!</v>
      </c>
      <c r="I13" s="52"/>
      <c r="M13" s="44" t="s">
        <v>189</v>
      </c>
      <c r="N13" s="44" t="e">
        <f>(B15+K2*C15-K2*L2)/(1+K2*K2)</f>
        <v>#DIV/0!</v>
      </c>
      <c r="O13" s="44" t="e">
        <f>(K2*B15+K2*K2*C15+L2)/(1+K2*K2)</f>
        <v>#DIV/0!</v>
      </c>
      <c r="P13" s="3" t="s">
        <v>190</v>
      </c>
      <c r="Q13" s="3" t="e">
        <f>SQRT(((N4-N5)*(N4-N5)+(O4-O5)*(O4-O5)))*ABS(O4-O5)/(-O4+O5)</f>
        <v>#DIV/0!</v>
      </c>
      <c r="R13" s="7" t="e">
        <f>Q13*B21/Q21</f>
        <v>#DIV/0!</v>
      </c>
    </row>
    <row r="14" spans="1:22" x14ac:dyDescent="0.25">
      <c r="A14" t="s">
        <v>191</v>
      </c>
      <c r="E14" s="53" t="s">
        <v>192</v>
      </c>
      <c r="F14" s="51"/>
      <c r="G14" s="51"/>
      <c r="H14" s="51" t="e">
        <f>R19</f>
        <v>#DIV/0!</v>
      </c>
      <c r="I14" s="52"/>
      <c r="M14" s="44" t="s">
        <v>193</v>
      </c>
      <c r="N14" s="44" t="e">
        <f>(B16+K2*C16-K2*L2)/(1+K2*K2)</f>
        <v>#DIV/0!</v>
      </c>
      <c r="O14" s="44" t="e">
        <f>(K2*B16+K2*K2*C16+L2)/(1+K2*K2)</f>
        <v>#DIV/0!</v>
      </c>
      <c r="P14" t="s">
        <v>194</v>
      </c>
      <c r="Q14" t="e">
        <f>SQRT(((N6-N7)*(N6-N7)+(O6-O7)*(O6-O7)))*ABS(O6-O7)/(-O6+O7)</f>
        <v>#DIV/0!</v>
      </c>
      <c r="R14" s="49" t="e">
        <f>Q14*B21/Q21</f>
        <v>#DIV/0!</v>
      </c>
    </row>
    <row r="15" spans="1:22" ht="15.75" thickBot="1" x14ac:dyDescent="0.3">
      <c r="A15" t="s">
        <v>189</v>
      </c>
      <c r="E15" s="55" t="s">
        <v>195</v>
      </c>
      <c r="F15" s="51"/>
      <c r="G15" s="51"/>
      <c r="H15" s="51" t="e">
        <f>R20</f>
        <v>#DIV/0!</v>
      </c>
      <c r="I15" s="52" t="e">
        <f>V8</f>
        <v>#DIV/0!</v>
      </c>
      <c r="M15" s="44" t="s">
        <v>196</v>
      </c>
      <c r="N15" s="44" t="e">
        <f>(B17+K2*C17-K2*L2)/(1+K2*K2)</f>
        <v>#DIV/0!</v>
      </c>
      <c r="O15" s="44" t="e">
        <f>(K2*B17+K2*K2*C17+L2)/(1+K2*K2)</f>
        <v>#DIV/0!</v>
      </c>
      <c r="P15" s="3" t="s">
        <v>172</v>
      </c>
      <c r="Q15" s="3" t="e">
        <f>SQRT(((N8-N9)*(N8-N9)+(O8-O9)*(O8-O9)))*ABS(O8-O9)/(-O8+O9)</f>
        <v>#DIV/0!</v>
      </c>
      <c r="R15" s="7" t="e">
        <f>Q15*B21/Q21</f>
        <v>#DIV/0!</v>
      </c>
    </row>
    <row r="16" spans="1:22" x14ac:dyDescent="0.25">
      <c r="A16" t="s">
        <v>193</v>
      </c>
      <c r="M16" s="44" t="s">
        <v>197</v>
      </c>
      <c r="N16" s="44" t="e">
        <f>(B18+K2*C18-K2*L2)/(1+K2*K2)</f>
        <v>#DIV/0!</v>
      </c>
      <c r="O16" s="44" t="e">
        <f>(K2*B18+K2*K2*C18+L2)/(1+K2*K2)</f>
        <v>#DIV/0!</v>
      </c>
      <c r="P16" t="s">
        <v>175</v>
      </c>
      <c r="Q16" t="e">
        <f>SQRT(((N10-N11)*(N10-N11)+(O10-O11)*(O10-O11)))*ABS(O10-O11)/(-O10+O11)</f>
        <v>#DIV/0!</v>
      </c>
      <c r="R16" s="49" t="e">
        <f>Q16*B21/Q21</f>
        <v>#DIV/0!</v>
      </c>
    </row>
    <row r="17" spans="1:18" x14ac:dyDescent="0.25">
      <c r="A17" t="s">
        <v>196</v>
      </c>
      <c r="P17" s="3" t="s">
        <v>191</v>
      </c>
      <c r="Q17" s="3" t="e">
        <f>SQRT(((N12-B14)*(N12-B14)+(O12-C14)*(O12-C14)))*ABS(N12-B14)/(-N12+B14)</f>
        <v>#DIV/0!</v>
      </c>
      <c r="R17" s="7" t="e">
        <f>Q17*B21/Q21</f>
        <v>#DIV/0!</v>
      </c>
    </row>
    <row r="18" spans="1:18" x14ac:dyDescent="0.25">
      <c r="A18" t="s">
        <v>197</v>
      </c>
      <c r="P18" t="s">
        <v>188</v>
      </c>
      <c r="Q18" t="e">
        <f>SQRT(((N13-B15)*(N13-B15)+(O13-C15)*(O13-C15)))*ABS(N13-B15)/(-N13+B15)</f>
        <v>#DIV/0!</v>
      </c>
      <c r="R18" s="49" t="e">
        <f>Q18*B21/Q21</f>
        <v>#DIV/0!</v>
      </c>
    </row>
    <row r="19" spans="1:18" x14ac:dyDescent="0.25">
      <c r="A19" t="s">
        <v>198</v>
      </c>
      <c r="P19" s="3" t="s">
        <v>192</v>
      </c>
      <c r="Q19" s="3" t="e">
        <f>SQRT(((N14-B16)*(N14-B16)+(O14-C16)*(O14-C16)))*ABS(N14-B16)/(-N14+B16)</f>
        <v>#DIV/0!</v>
      </c>
      <c r="R19" s="7" t="e">
        <f>Q19*B21/Q21</f>
        <v>#DIV/0!</v>
      </c>
    </row>
    <row r="20" spans="1:18" x14ac:dyDescent="0.25">
      <c r="A20" t="s">
        <v>199</v>
      </c>
      <c r="P20" t="s">
        <v>178</v>
      </c>
      <c r="Q20" t="e">
        <f>SQRT(((N15-N16)*(N15-N16)+(O15-O16)*(O15-O16)))</f>
        <v>#DIV/0!</v>
      </c>
      <c r="R20" s="49" t="e">
        <f>Q20*B21/Q21</f>
        <v>#DIV/0!</v>
      </c>
    </row>
    <row r="21" spans="1:18" x14ac:dyDescent="0.25">
      <c r="A21" t="s">
        <v>200</v>
      </c>
      <c r="P21" t="s">
        <v>201</v>
      </c>
      <c r="Q21">
        <f>SQRT(((B19-B20)*(B19-B20)+(C20-C19)*(C20-C19)))</f>
        <v>0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0"/>
  <sheetViews>
    <sheetView topLeftCell="G2" zoomScaleNormal="100" workbookViewId="0">
      <selection activeCell="R24" sqref="R24"/>
    </sheetView>
  </sheetViews>
  <sheetFormatPr defaultRowHeight="12.75" x14ac:dyDescent="0.2"/>
  <cols>
    <col min="1" max="1" width="9.140625" style="56"/>
    <col min="2" max="9" width="5.7109375" style="56" customWidth="1"/>
    <col min="10" max="10" width="6" style="56" customWidth="1"/>
    <col min="11" max="17" width="5.7109375" style="56" customWidth="1"/>
    <col min="18" max="18" width="9.140625" style="56"/>
    <col min="19" max="19" width="8.140625" style="56" customWidth="1"/>
    <col min="20" max="16384" width="9.140625" style="56"/>
  </cols>
  <sheetData>
    <row r="7" spans="2:23" ht="13.5" thickBot="1" x14ac:dyDescent="0.25"/>
    <row r="8" spans="2:23" ht="14.25" thickTop="1" thickBot="1" x14ac:dyDescent="0.25">
      <c r="O8" s="56">
        <v>0</v>
      </c>
      <c r="P8" s="56">
        <v>9.1</v>
      </c>
      <c r="S8" s="135" t="s">
        <v>202</v>
      </c>
      <c r="T8" s="137" t="s">
        <v>203</v>
      </c>
      <c r="U8" s="137"/>
      <c r="V8" s="137" t="s">
        <v>204</v>
      </c>
      <c r="W8" s="137"/>
    </row>
    <row r="9" spans="2:23" ht="18.75" thickBot="1" x14ac:dyDescent="0.3">
      <c r="B9" s="57"/>
      <c r="C9" s="58">
        <v>8</v>
      </c>
      <c r="D9" s="58">
        <v>9.6</v>
      </c>
      <c r="E9" s="58">
        <v>7.1</v>
      </c>
      <c r="F9" s="58">
        <v>7.5</v>
      </c>
      <c r="G9" s="58">
        <v>7.6</v>
      </c>
      <c r="H9" s="58">
        <v>7</v>
      </c>
      <c r="I9" s="59">
        <v>8.5</v>
      </c>
      <c r="J9" s="58">
        <v>8.8000000000000007</v>
      </c>
      <c r="K9" s="58">
        <v>6.5</v>
      </c>
      <c r="L9" s="58">
        <v>7.8</v>
      </c>
      <c r="M9" s="58">
        <v>7.7</v>
      </c>
      <c r="N9" s="58">
        <v>6.9</v>
      </c>
      <c r="O9" s="58">
        <v>9.1</v>
      </c>
      <c r="P9" s="58"/>
      <c r="Q9" s="59"/>
      <c r="S9" s="136"/>
      <c r="T9" s="60" t="s">
        <v>205</v>
      </c>
      <c r="U9" s="61" t="s">
        <v>206</v>
      </c>
      <c r="V9" s="60" t="s">
        <v>205</v>
      </c>
      <c r="W9" s="61" t="s">
        <v>206</v>
      </c>
    </row>
    <row r="10" spans="2:23" ht="13.5" thickBot="1" x14ac:dyDescent="0.25">
      <c r="B10" s="62">
        <v>8</v>
      </c>
      <c r="C10" s="63">
        <v>7</v>
      </c>
      <c r="D10" s="63">
        <v>6</v>
      </c>
      <c r="E10" s="63">
        <v>5</v>
      </c>
      <c r="F10" s="63">
        <v>4</v>
      </c>
      <c r="G10" s="63">
        <v>3</v>
      </c>
      <c r="H10" s="63">
        <v>2</v>
      </c>
      <c r="I10" s="64">
        <v>1</v>
      </c>
      <c r="J10" s="63">
        <v>1</v>
      </c>
      <c r="K10" s="63">
        <v>2</v>
      </c>
      <c r="L10" s="63">
        <v>3</v>
      </c>
      <c r="M10" s="63">
        <v>4</v>
      </c>
      <c r="N10" s="63">
        <v>5</v>
      </c>
      <c r="O10" s="63">
        <v>6</v>
      </c>
      <c r="P10" s="63">
        <v>7</v>
      </c>
      <c r="Q10" s="64">
        <v>8</v>
      </c>
      <c r="S10" s="65" t="s">
        <v>207</v>
      </c>
      <c r="T10" s="66"/>
      <c r="U10" s="67"/>
      <c r="V10" s="66"/>
      <c r="W10" s="67"/>
    </row>
    <row r="11" spans="2:23" ht="13.5" thickBot="1" x14ac:dyDescent="0.25">
      <c r="B11" s="62">
        <v>8</v>
      </c>
      <c r="C11" s="63">
        <v>7</v>
      </c>
      <c r="D11" s="63">
        <v>6</v>
      </c>
      <c r="E11" s="63">
        <v>5</v>
      </c>
      <c r="F11" s="63">
        <v>4</v>
      </c>
      <c r="G11" s="63">
        <v>3</v>
      </c>
      <c r="H11" s="63">
        <v>2</v>
      </c>
      <c r="I11" s="64">
        <v>1</v>
      </c>
      <c r="J11" s="63">
        <v>1</v>
      </c>
      <c r="K11" s="63">
        <v>2</v>
      </c>
      <c r="L11" s="63">
        <v>3</v>
      </c>
      <c r="M11" s="63">
        <v>4</v>
      </c>
      <c r="N11" s="63">
        <v>5</v>
      </c>
      <c r="O11" s="63">
        <v>6</v>
      </c>
      <c r="P11" s="63">
        <v>7</v>
      </c>
      <c r="Q11" s="64">
        <v>8</v>
      </c>
      <c r="S11" s="68" t="s">
        <v>208</v>
      </c>
      <c r="T11" s="69"/>
      <c r="U11" s="70"/>
      <c r="V11" s="69"/>
      <c r="W11" s="70"/>
    </row>
    <row r="12" spans="2:23" ht="13.5" thickBot="1" x14ac:dyDescent="0.25">
      <c r="B12" s="57"/>
      <c r="C12" s="58">
        <v>9.8000000000000007</v>
      </c>
      <c r="D12" s="58">
        <v>11.1</v>
      </c>
      <c r="E12" s="58">
        <v>7.2</v>
      </c>
      <c r="F12" s="58">
        <v>7.8</v>
      </c>
      <c r="G12" s="58">
        <v>7.1</v>
      </c>
      <c r="H12" s="58">
        <v>6.3</v>
      </c>
      <c r="I12" s="59">
        <v>5.5</v>
      </c>
      <c r="J12" s="58">
        <v>5.4</v>
      </c>
      <c r="K12" s="58">
        <v>6.2</v>
      </c>
      <c r="L12" s="58">
        <v>6.9</v>
      </c>
      <c r="M12" s="58">
        <v>7.6</v>
      </c>
      <c r="N12" s="58">
        <v>7.3</v>
      </c>
      <c r="O12" s="58">
        <v>10.8</v>
      </c>
      <c r="P12" s="58">
        <v>10.1</v>
      </c>
      <c r="Q12" s="59"/>
      <c r="S12" s="68" t="s">
        <v>209</v>
      </c>
      <c r="T12" s="69"/>
      <c r="U12" s="70"/>
      <c r="V12" s="69"/>
      <c r="W12" s="70"/>
    </row>
    <row r="13" spans="2:23" ht="13.5" thickBot="1" x14ac:dyDescent="0.25">
      <c r="C13" s="58"/>
      <c r="D13" s="58"/>
      <c r="E13" s="58"/>
      <c r="F13" s="58"/>
      <c r="G13" s="58"/>
      <c r="H13" s="58"/>
      <c r="I13" s="59"/>
      <c r="J13" s="58"/>
      <c r="K13" s="58"/>
      <c r="L13" s="58"/>
      <c r="M13" s="58"/>
      <c r="N13" s="58"/>
      <c r="O13" s="58"/>
      <c r="P13" s="58"/>
      <c r="S13" s="68" t="s">
        <v>210</v>
      </c>
      <c r="T13" s="69"/>
      <c r="U13" s="70"/>
      <c r="V13" s="69"/>
      <c r="W13" s="70"/>
    </row>
    <row r="14" spans="2:23" ht="13.5" thickBot="1" x14ac:dyDescent="0.25">
      <c r="S14" s="71" t="s">
        <v>211</v>
      </c>
      <c r="T14" s="72"/>
      <c r="U14" s="73"/>
      <c r="V14" s="72"/>
      <c r="W14" s="73"/>
    </row>
    <row r="15" spans="2:23" ht="13.5" thickBot="1" x14ac:dyDescent="0.25">
      <c r="S15" s="71" t="s">
        <v>212</v>
      </c>
      <c r="T15" s="72"/>
      <c r="U15" s="73"/>
      <c r="V15" s="72"/>
      <c r="W15" s="73"/>
    </row>
    <row r="16" spans="2:23" ht="13.5" thickBot="1" x14ac:dyDescent="0.25">
      <c r="E16" s="56">
        <f>SUM(G9:L9)</f>
        <v>46.2</v>
      </c>
      <c r="H16" s="56">
        <f>SUM(D9:O9)</f>
        <v>94.1</v>
      </c>
      <c r="K16" s="56" t="s">
        <v>213</v>
      </c>
      <c r="L16" s="56">
        <f>SUM(E9:G9)</f>
        <v>22.2</v>
      </c>
      <c r="M16" s="56" t="s">
        <v>214</v>
      </c>
      <c r="N16" s="56">
        <f>SUM(H9:K9)</f>
        <v>30.8</v>
      </c>
      <c r="O16" s="56" t="s">
        <v>215</v>
      </c>
      <c r="P16" s="56">
        <f>SUM(L9:N9)</f>
        <v>22.4</v>
      </c>
      <c r="S16" s="71" t="s">
        <v>216</v>
      </c>
      <c r="T16" s="72"/>
      <c r="U16" s="73"/>
      <c r="V16" s="72"/>
      <c r="W16" s="73"/>
    </row>
    <row r="17" spans="1:24" ht="13.5" thickBot="1" x14ac:dyDescent="0.25">
      <c r="B17" s="56">
        <v>39.1</v>
      </c>
      <c r="E17" s="56">
        <f>SUM(G12:L12)</f>
        <v>37.4</v>
      </c>
      <c r="H17" s="56">
        <f>SUM(D12:O12)</f>
        <v>89.199999999999989</v>
      </c>
      <c r="K17" s="56" t="s">
        <v>217</v>
      </c>
      <c r="L17" s="56">
        <f>SUM(E12:G12)</f>
        <v>22.1</v>
      </c>
      <c r="M17" s="56" t="s">
        <v>218</v>
      </c>
      <c r="N17" s="56">
        <f>SUM(H12:K12)</f>
        <v>23.400000000000002</v>
      </c>
      <c r="O17" s="56" t="s">
        <v>219</v>
      </c>
      <c r="P17" s="56">
        <f>SUM(L12:N12)</f>
        <v>21.8</v>
      </c>
      <c r="S17" s="71" t="s">
        <v>220</v>
      </c>
      <c r="T17" s="72"/>
      <c r="U17" s="73"/>
      <c r="V17" s="72"/>
      <c r="W17" s="73"/>
    </row>
    <row r="18" spans="1:24" ht="13.5" thickBot="1" x14ac:dyDescent="0.25">
      <c r="D18" s="56" t="s">
        <v>221</v>
      </c>
      <c r="E18" s="56">
        <f>(100/E16)*E17</f>
        <v>80.952380952380949</v>
      </c>
      <c r="G18" s="56" t="s">
        <v>222</v>
      </c>
      <c r="H18" s="56">
        <f>(100/H16)*H17</f>
        <v>94.792773645058446</v>
      </c>
      <c r="S18" s="71" t="s">
        <v>223</v>
      </c>
      <c r="T18" s="72"/>
      <c r="U18" s="73"/>
      <c r="V18" s="72"/>
      <c r="W18" s="73"/>
    </row>
    <row r="19" spans="1:24" ht="13.5" thickBot="1" x14ac:dyDescent="0.25">
      <c r="D19" s="56">
        <v>77.290000000000006</v>
      </c>
      <c r="E19" s="56" t="s">
        <v>224</v>
      </c>
      <c r="F19" s="56">
        <v>1.7</v>
      </c>
      <c r="K19" s="56">
        <v>142</v>
      </c>
      <c r="L19" s="56">
        <v>126</v>
      </c>
      <c r="M19" s="56">
        <v>148</v>
      </c>
      <c r="N19" s="56">
        <v>121</v>
      </c>
      <c r="O19" s="56">
        <v>117</v>
      </c>
      <c r="S19" s="74" t="s">
        <v>225</v>
      </c>
      <c r="T19" s="75">
        <f>SUM(T11:T13)</f>
        <v>0</v>
      </c>
      <c r="U19" s="76">
        <f>SUM(U14:U18)</f>
        <v>0</v>
      </c>
      <c r="V19" s="75">
        <f>SUM(V11:V13)</f>
        <v>0</v>
      </c>
      <c r="W19" s="76">
        <f>SUM(W14:W18)</f>
        <v>0</v>
      </c>
    </row>
    <row r="20" spans="1:24" ht="14.25" thickTop="1" thickBot="1" x14ac:dyDescent="0.25">
      <c r="D20" s="56">
        <v>91.3</v>
      </c>
      <c r="E20" s="56" t="s">
        <v>224</v>
      </c>
      <c r="F20" s="56">
        <v>1.9</v>
      </c>
      <c r="K20" s="56">
        <f>K19/117</f>
        <v>1.2136752136752136</v>
      </c>
      <c r="L20" s="56">
        <f t="shared" ref="L20:O20" si="0">L19/117</f>
        <v>1.0769230769230769</v>
      </c>
      <c r="M20" s="56">
        <f t="shared" si="0"/>
        <v>1.2649572649572649</v>
      </c>
      <c r="N20" s="56">
        <f t="shared" si="0"/>
        <v>1.0341880341880343</v>
      </c>
      <c r="O20" s="56">
        <f t="shared" si="0"/>
        <v>1</v>
      </c>
      <c r="S20" s="77" t="s">
        <v>226</v>
      </c>
      <c r="T20" s="137"/>
      <c r="U20" s="137"/>
      <c r="V20" s="137"/>
      <c r="W20" s="137"/>
    </row>
    <row r="21" spans="1:24" ht="13.5" thickTop="1" x14ac:dyDescent="0.2">
      <c r="D21" s="56">
        <f>E18-D19-F19</f>
        <v>1.9623809523809428</v>
      </c>
      <c r="E21" s="56">
        <f>D21*E16/100</f>
        <v>0.90661999999999565</v>
      </c>
      <c r="G21" s="56" t="s">
        <v>301</v>
      </c>
      <c r="K21" s="56">
        <v>240</v>
      </c>
      <c r="L21" s="56">
        <v>226</v>
      </c>
      <c r="M21" s="56">
        <v>250</v>
      </c>
      <c r="N21" s="56">
        <v>104</v>
      </c>
      <c r="O21" s="56">
        <v>146</v>
      </c>
      <c r="S21" s="56">
        <f>T21/U21</f>
        <v>6.6009104704097113E-2</v>
      </c>
      <c r="T21" s="56">
        <v>43.5</v>
      </c>
      <c r="U21" s="56">
        <v>659</v>
      </c>
      <c r="V21" s="56">
        <f>W21/X21</f>
        <v>6.6862170087976541E-2</v>
      </c>
      <c r="W21" s="56">
        <v>45.6</v>
      </c>
      <c r="X21" s="56">
        <v>682</v>
      </c>
    </row>
    <row r="22" spans="1:24" x14ac:dyDescent="0.2">
      <c r="D22" s="56">
        <f>H18-D20-F20</f>
        <v>1.5927736450584491</v>
      </c>
      <c r="E22" s="56">
        <f>D22*H16/100</f>
        <v>1.4988000000000006</v>
      </c>
      <c r="G22" s="56" t="s">
        <v>302</v>
      </c>
      <c r="K22" s="56">
        <f>K21/226</f>
        <v>1.0619469026548674</v>
      </c>
      <c r="L22" s="56">
        <f t="shared" ref="L22:M22" si="1">L21/226</f>
        <v>1</v>
      </c>
      <c r="M22" s="56">
        <f t="shared" si="1"/>
        <v>1.1061946902654867</v>
      </c>
      <c r="N22" s="56">
        <f>N21/104</f>
        <v>1</v>
      </c>
      <c r="O22" s="56">
        <f>O21/104</f>
        <v>1.4038461538461537</v>
      </c>
      <c r="S22" s="56" t="s">
        <v>273</v>
      </c>
      <c r="V22" s="56" t="s">
        <v>279</v>
      </c>
    </row>
    <row r="23" spans="1:24" x14ac:dyDescent="0.2">
      <c r="A23" s="56" t="s">
        <v>272</v>
      </c>
      <c r="S23" s="56" t="s">
        <v>274</v>
      </c>
      <c r="T23" s="56">
        <f>$S$21*U23</f>
        <v>33.268588770864945</v>
      </c>
      <c r="U23" s="56">
        <v>504</v>
      </c>
      <c r="V23" s="56" t="s">
        <v>274</v>
      </c>
      <c r="W23" s="56">
        <f>$V$21*X23</f>
        <v>28.01524926686217</v>
      </c>
      <c r="X23" s="56">
        <v>419</v>
      </c>
    </row>
    <row r="24" spans="1:24" x14ac:dyDescent="0.2">
      <c r="A24" s="56" t="s">
        <v>269</v>
      </c>
      <c r="B24" s="56">
        <f>H12+I12+J12+K12</f>
        <v>23.400000000000002</v>
      </c>
      <c r="K24" s="56">
        <v>222</v>
      </c>
      <c r="L24" s="56">
        <v>203</v>
      </c>
      <c r="M24" s="56">
        <v>216</v>
      </c>
      <c r="N24" s="56">
        <v>85</v>
      </c>
      <c r="O24" s="56">
        <v>131</v>
      </c>
      <c r="S24" s="56" t="s">
        <v>276</v>
      </c>
      <c r="T24" s="56">
        <f t="shared" ref="T24:T30" si="2">$S$21*U24</f>
        <v>17.690440060698027</v>
      </c>
      <c r="U24" s="56">
        <v>268</v>
      </c>
      <c r="V24" s="56" t="s">
        <v>276</v>
      </c>
      <c r="W24" s="56">
        <f t="shared" ref="W24:W30" si="3">$V$21*X24</f>
        <v>13.773607038123167</v>
      </c>
      <c r="X24" s="56">
        <v>206</v>
      </c>
    </row>
    <row r="25" spans="1:24" x14ac:dyDescent="0.2">
      <c r="A25" s="56" t="s">
        <v>270</v>
      </c>
      <c r="B25" s="56">
        <f>11.16+0.49*B24</f>
        <v>22.626000000000001</v>
      </c>
      <c r="K25" s="56">
        <f>K24/203</f>
        <v>1.0935960591133005</v>
      </c>
      <c r="L25" s="56">
        <f t="shared" ref="L25:M25" si="4">L24/203</f>
        <v>1</v>
      </c>
      <c r="M25" s="56">
        <f t="shared" si="4"/>
        <v>1.0640394088669951</v>
      </c>
      <c r="N25" s="56">
        <f>N24/85</f>
        <v>1</v>
      </c>
      <c r="O25" s="56">
        <f>O24/84</f>
        <v>1.5595238095238095</v>
      </c>
      <c r="S25" s="56" t="s">
        <v>277</v>
      </c>
      <c r="T25" s="56">
        <f t="shared" si="2"/>
        <v>16.106221547799695</v>
      </c>
      <c r="U25" s="56">
        <v>244</v>
      </c>
      <c r="V25" s="56" t="s">
        <v>277</v>
      </c>
      <c r="W25" s="56">
        <f t="shared" si="3"/>
        <v>14.30850439882698</v>
      </c>
      <c r="X25" s="56">
        <v>214</v>
      </c>
    </row>
    <row r="26" spans="1:24" x14ac:dyDescent="0.2">
      <c r="A26" s="56" t="s">
        <v>271</v>
      </c>
      <c r="B26" s="56">
        <f>9.49+0.53*B24</f>
        <v>21.892000000000003</v>
      </c>
      <c r="S26" s="56" t="s">
        <v>275</v>
      </c>
      <c r="T26" s="56">
        <f t="shared" si="2"/>
        <v>46.140364188163879</v>
      </c>
      <c r="U26" s="56">
        <v>699</v>
      </c>
      <c r="V26" s="56" t="s">
        <v>275</v>
      </c>
      <c r="W26" s="56">
        <f t="shared" si="3"/>
        <v>50.012903225806454</v>
      </c>
      <c r="X26" s="56">
        <v>748</v>
      </c>
    </row>
    <row r="27" spans="1:24" x14ac:dyDescent="0.2">
      <c r="S27" s="56" t="s">
        <v>278</v>
      </c>
      <c r="T27" s="56">
        <f t="shared" si="2"/>
        <v>23.56525037936267</v>
      </c>
      <c r="U27" s="56">
        <v>357</v>
      </c>
      <c r="V27" s="56" t="s">
        <v>278</v>
      </c>
      <c r="W27" s="56">
        <f t="shared" si="3"/>
        <v>24.404692082111438</v>
      </c>
      <c r="X27" s="56">
        <v>365</v>
      </c>
    </row>
    <row r="28" spans="1:24" x14ac:dyDescent="0.2">
      <c r="S28" s="56" t="s">
        <v>277</v>
      </c>
      <c r="T28" s="56">
        <f t="shared" si="2"/>
        <v>22.971168437025796</v>
      </c>
      <c r="U28" s="56">
        <v>348</v>
      </c>
      <c r="V28" s="56" t="s">
        <v>277</v>
      </c>
      <c r="W28" s="56">
        <f t="shared" si="3"/>
        <v>25.741935483870968</v>
      </c>
      <c r="X28" s="56">
        <v>385</v>
      </c>
    </row>
    <row r="29" spans="1:24" x14ac:dyDescent="0.2">
      <c r="S29" s="56" t="s">
        <v>303</v>
      </c>
      <c r="T29" s="56">
        <f t="shared" si="2"/>
        <v>1.6502276176024278</v>
      </c>
      <c r="U29" s="56">
        <v>25</v>
      </c>
      <c r="V29" s="56" t="s">
        <v>303</v>
      </c>
      <c r="W29" s="56">
        <f t="shared" si="3"/>
        <v>0.66862170087976547</v>
      </c>
      <c r="X29" s="56">
        <v>10</v>
      </c>
    </row>
    <row r="30" spans="1:24" x14ac:dyDescent="0.2">
      <c r="S30" s="56" t="s">
        <v>304</v>
      </c>
      <c r="T30" s="56">
        <f t="shared" si="2"/>
        <v>1.1881638846737481</v>
      </c>
      <c r="U30" s="56">
        <v>18</v>
      </c>
      <c r="V30" s="56" t="s">
        <v>304</v>
      </c>
      <c r="W30" s="56">
        <f t="shared" si="3"/>
        <v>2.5407624633431087</v>
      </c>
      <c r="X30" s="56">
        <v>38</v>
      </c>
    </row>
  </sheetData>
  <mergeCells count="5">
    <mergeCell ref="S8:S9"/>
    <mergeCell ref="T8:U8"/>
    <mergeCell ref="V8:W8"/>
    <mergeCell ref="T20:U20"/>
    <mergeCell ref="V20:W20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7"/>
  <sheetViews>
    <sheetView topLeftCell="B2" zoomScaleNormal="100" workbookViewId="0">
      <selection activeCell="C14" sqref="C14:E16"/>
    </sheetView>
  </sheetViews>
  <sheetFormatPr defaultRowHeight="12.75" x14ac:dyDescent="0.2"/>
  <cols>
    <col min="1" max="1" width="9.140625" style="56"/>
    <col min="2" max="2" width="25.85546875" style="56" customWidth="1"/>
    <col min="3" max="3" width="11.85546875" style="56" customWidth="1"/>
    <col min="4" max="4" width="16.140625" style="56" customWidth="1"/>
    <col min="5" max="5" width="14.140625" style="56" customWidth="1"/>
    <col min="6" max="6" width="9.140625" style="56"/>
    <col min="7" max="7" width="4.7109375" style="56" customWidth="1"/>
    <col min="8" max="8" width="5.28515625" style="56" customWidth="1"/>
    <col min="9" max="9" width="5" style="56" customWidth="1"/>
    <col min="10" max="10" width="5.7109375" style="56" customWidth="1"/>
    <col min="11" max="11" width="5.5703125" style="56" customWidth="1"/>
    <col min="12" max="12" width="4.85546875" style="56" customWidth="1"/>
    <col min="13" max="16384" width="9.140625" style="56"/>
  </cols>
  <sheetData>
    <row r="4" spans="2:12" ht="13.5" thickBot="1" x14ac:dyDescent="0.25"/>
    <row r="5" spans="2:12" ht="19.5" thickBot="1" x14ac:dyDescent="0.35">
      <c r="B5" s="78" t="s">
        <v>227</v>
      </c>
      <c r="C5" s="78" t="s">
        <v>228</v>
      </c>
      <c r="D5" s="78" t="s">
        <v>229</v>
      </c>
      <c r="E5" s="78" t="s">
        <v>230</v>
      </c>
    </row>
    <row r="6" spans="2:12" ht="19.5" thickBot="1" x14ac:dyDescent="0.35">
      <c r="B6" s="78" t="s">
        <v>231</v>
      </c>
      <c r="C6" s="79">
        <v>22.6</v>
      </c>
      <c r="D6" s="79">
        <v>32.299999999999997</v>
      </c>
      <c r="E6" s="79">
        <v>22.8</v>
      </c>
    </row>
    <row r="7" spans="2:12" ht="19.5" thickBot="1" x14ac:dyDescent="0.35">
      <c r="B7" s="78" t="s">
        <v>232</v>
      </c>
      <c r="C7" s="80">
        <v>22.2</v>
      </c>
      <c r="D7" s="80">
        <v>30.8</v>
      </c>
      <c r="E7" s="80">
        <v>22.4</v>
      </c>
    </row>
    <row r="8" spans="2:12" ht="19.5" thickBot="1" x14ac:dyDescent="0.35">
      <c r="B8" s="78" t="s">
        <v>149</v>
      </c>
      <c r="C8" s="81">
        <f>C6-C7</f>
        <v>0.40000000000000213</v>
      </c>
      <c r="D8" s="81">
        <f>D6-D7</f>
        <v>1.4999999999999964</v>
      </c>
      <c r="E8" s="81">
        <f>E6-E7</f>
        <v>0.40000000000000213</v>
      </c>
    </row>
    <row r="9" spans="2:12" ht="19.5" thickBot="1" x14ac:dyDescent="0.35">
      <c r="B9" s="82" t="s">
        <v>233</v>
      </c>
      <c r="C9" s="83">
        <f>SUM(C8:E8)</f>
        <v>2.3000000000000007</v>
      </c>
      <c r="D9" s="83" t="s">
        <v>234</v>
      </c>
      <c r="E9" s="84"/>
      <c r="G9" s="56" t="s">
        <v>213</v>
      </c>
      <c r="H9" s="56">
        <v>22.2</v>
      </c>
      <c r="I9" s="56" t="s">
        <v>214</v>
      </c>
      <c r="J9" s="56">
        <v>30.8</v>
      </c>
      <c r="K9" s="56" t="s">
        <v>215</v>
      </c>
      <c r="L9" s="56">
        <v>22.4</v>
      </c>
    </row>
    <row r="10" spans="2:12" x14ac:dyDescent="0.2">
      <c r="G10" s="56" t="s">
        <v>217</v>
      </c>
      <c r="H10" s="56">
        <v>22.1</v>
      </c>
      <c r="I10" s="56" t="s">
        <v>218</v>
      </c>
      <c r="J10" s="56">
        <v>23.400000000000002</v>
      </c>
      <c r="K10" s="56" t="s">
        <v>219</v>
      </c>
      <c r="L10" s="56">
        <v>21.8</v>
      </c>
    </row>
    <row r="13" spans="2:12" ht="19.5" thickBot="1" x14ac:dyDescent="0.35">
      <c r="B13" s="78" t="s">
        <v>235</v>
      </c>
      <c r="C13" s="78" t="s">
        <v>228</v>
      </c>
      <c r="D13" s="78" t="s">
        <v>229</v>
      </c>
      <c r="E13" s="78" t="s">
        <v>230</v>
      </c>
    </row>
    <row r="14" spans="2:12" ht="19.5" thickBot="1" x14ac:dyDescent="0.35">
      <c r="B14" s="78" t="s">
        <v>231</v>
      </c>
      <c r="C14" s="79">
        <v>22.6</v>
      </c>
      <c r="D14" s="79">
        <v>23.9</v>
      </c>
      <c r="E14" s="79">
        <v>21.9</v>
      </c>
    </row>
    <row r="15" spans="2:12" ht="19.5" thickBot="1" x14ac:dyDescent="0.35">
      <c r="B15" s="78" t="s">
        <v>232</v>
      </c>
      <c r="C15" s="80">
        <v>22.1</v>
      </c>
      <c r="D15" s="80">
        <v>23.4</v>
      </c>
      <c r="E15" s="80">
        <v>21.8</v>
      </c>
    </row>
    <row r="16" spans="2:12" ht="19.5" thickBot="1" x14ac:dyDescent="0.35">
      <c r="B16" s="78" t="s">
        <v>149</v>
      </c>
      <c r="C16" s="81">
        <f>C14-C15</f>
        <v>0.5</v>
      </c>
      <c r="D16" s="81">
        <f>D14-D15</f>
        <v>0.5</v>
      </c>
      <c r="E16" s="81">
        <f>E14-E15</f>
        <v>9.9999999999997868E-2</v>
      </c>
    </row>
    <row r="17" spans="2:5" ht="19.5" thickBot="1" x14ac:dyDescent="0.35">
      <c r="B17" s="82" t="s">
        <v>233</v>
      </c>
      <c r="C17" s="83">
        <f>SUM(C16:E16)</f>
        <v>1.0999999999999979</v>
      </c>
      <c r="D17" s="83" t="s">
        <v>234</v>
      </c>
      <c r="E17" s="84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LAT</vt:lpstr>
      <vt:lpstr>PA</vt:lpstr>
      <vt:lpstr>Space analysis1</vt:lpstr>
      <vt:lpstr>Space analysis2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2012-11-05T05:19:58Z</dcterms:modified>
</cp:coreProperties>
</file>